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38400" windowHeight="17400" tabRatio="718"/>
  </bookViews>
  <sheets>
    <sheet name="Grunddaten" sheetId="1" r:id="rId1"/>
    <sheet name="Anschaffungen" sheetId="3" r:id="rId2"/>
    <sheet name="Aufwandsentschädigungen" sheetId="4" r:id="rId3"/>
    <sheet name="Normalpreisliste" sheetId="5" state="hidden" r:id="rId4"/>
    <sheet name="Kostenstelle" sheetId="2" state="hidden" r:id="rId5"/>
    <sheet name="Konto &amp; Allgemein" sheetId="6" state="hidden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E72" i="2" l="1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E22" i="1"/>
  <c r="D13" i="6" l="1"/>
  <c r="E13" i="6"/>
  <c r="M4" i="3" l="1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3" i="3"/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3" i="4"/>
  <c r="D10" i="6"/>
  <c r="E10" i="6"/>
  <c r="D12" i="6"/>
  <c r="E12" i="6"/>
  <c r="D14" i="6"/>
  <c r="E14" i="6"/>
  <c r="D15" i="6"/>
  <c r="E15" i="6"/>
  <c r="D16" i="6"/>
  <c r="E16" i="6"/>
  <c r="D17" i="6"/>
  <c r="E17" i="6"/>
  <c r="D18" i="6"/>
  <c r="E18" i="6"/>
  <c r="D19" i="6"/>
  <c r="E19" i="6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3" i="3"/>
  <c r="B47" i="2" l="1"/>
  <c r="B35" i="2" l="1"/>
  <c r="B34" i="2"/>
  <c r="B37" i="2"/>
  <c r="D3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4" i="3"/>
  <c r="C4" i="3" s="1"/>
  <c r="I48" i="2" l="1"/>
  <c r="C51" i="3" l="1"/>
  <c r="E51" i="3"/>
  <c r="J51" i="3" s="1"/>
  <c r="C52" i="3"/>
  <c r="E52" i="3"/>
  <c r="J52" i="3" s="1"/>
  <c r="C30" i="6"/>
  <c r="D30" i="6"/>
  <c r="C8" i="3" l="1"/>
  <c r="E8" i="3"/>
  <c r="J8" i="3" s="1"/>
  <c r="C9" i="3"/>
  <c r="E9" i="3"/>
  <c r="J9" i="3" s="1"/>
  <c r="C10" i="3"/>
  <c r="E10" i="3"/>
  <c r="J10" i="3" s="1"/>
  <c r="C11" i="3"/>
  <c r="E11" i="3"/>
  <c r="J11" i="3" s="1"/>
  <c r="C12" i="3"/>
  <c r="E12" i="3"/>
  <c r="J12" i="3" s="1"/>
  <c r="C13" i="3"/>
  <c r="E13" i="3"/>
  <c r="J13" i="3" s="1"/>
  <c r="C14" i="3"/>
  <c r="E14" i="3"/>
  <c r="J14" i="3" s="1"/>
  <c r="C15" i="3"/>
  <c r="E15" i="3"/>
  <c r="J15" i="3" s="1"/>
  <c r="C16" i="3"/>
  <c r="E16" i="3"/>
  <c r="J16" i="3"/>
  <c r="C17" i="3"/>
  <c r="E17" i="3"/>
  <c r="J17" i="3" s="1"/>
  <c r="C18" i="3"/>
  <c r="E18" i="3"/>
  <c r="J18" i="3" s="1"/>
  <c r="C19" i="3"/>
  <c r="E19" i="3"/>
  <c r="J19" i="3" s="1"/>
  <c r="C20" i="3"/>
  <c r="E20" i="3"/>
  <c r="J20" i="3" s="1"/>
  <c r="C21" i="3"/>
  <c r="E21" i="3"/>
  <c r="J21" i="3" s="1"/>
  <c r="C22" i="3"/>
  <c r="E22" i="3"/>
  <c r="J22" i="3" s="1"/>
  <c r="C23" i="3"/>
  <c r="E23" i="3"/>
  <c r="J23" i="3"/>
  <c r="C24" i="3"/>
  <c r="E24" i="3"/>
  <c r="J24" i="3" s="1"/>
  <c r="C25" i="3"/>
  <c r="E25" i="3"/>
  <c r="J25" i="3" s="1"/>
  <c r="C26" i="3"/>
  <c r="E26" i="3"/>
  <c r="J26" i="3" s="1"/>
  <c r="C27" i="3"/>
  <c r="E27" i="3"/>
  <c r="J27" i="3" s="1"/>
  <c r="C28" i="3"/>
  <c r="E28" i="3"/>
  <c r="J28" i="3" s="1"/>
  <c r="C29" i="3"/>
  <c r="E29" i="3"/>
  <c r="J29" i="3" s="1"/>
  <c r="C30" i="3"/>
  <c r="E30" i="3"/>
  <c r="J30" i="3" s="1"/>
  <c r="C31" i="3"/>
  <c r="E31" i="3"/>
  <c r="J31" i="3" s="1"/>
  <c r="C32" i="3"/>
  <c r="E32" i="3"/>
  <c r="J32" i="3" s="1"/>
  <c r="C33" i="3"/>
  <c r="E33" i="3"/>
  <c r="J33" i="3" s="1"/>
  <c r="C34" i="3"/>
  <c r="E34" i="3"/>
  <c r="J34" i="3" s="1"/>
  <c r="C35" i="3"/>
  <c r="E35" i="3"/>
  <c r="J35" i="3" s="1"/>
  <c r="C36" i="3"/>
  <c r="E36" i="3"/>
  <c r="J36" i="3" s="1"/>
  <c r="C37" i="3"/>
  <c r="E37" i="3"/>
  <c r="J37" i="3" s="1"/>
  <c r="C38" i="3"/>
  <c r="E38" i="3"/>
  <c r="J38" i="3" s="1"/>
  <c r="C39" i="3"/>
  <c r="E39" i="3"/>
  <c r="J39" i="3" s="1"/>
  <c r="C40" i="3"/>
  <c r="E40" i="3"/>
  <c r="J40" i="3" s="1"/>
  <c r="C41" i="3"/>
  <c r="E41" i="3"/>
  <c r="J41" i="3" s="1"/>
  <c r="C42" i="3"/>
  <c r="E42" i="3"/>
  <c r="J42" i="3" s="1"/>
  <c r="C43" i="3"/>
  <c r="E43" i="3"/>
  <c r="J43" i="3" s="1"/>
  <c r="C44" i="3"/>
  <c r="E44" i="3"/>
  <c r="J44" i="3" s="1"/>
  <c r="C45" i="3"/>
  <c r="E45" i="3"/>
  <c r="J45" i="3"/>
  <c r="C46" i="3"/>
  <c r="E46" i="3"/>
  <c r="J46" i="3" s="1"/>
  <c r="C47" i="3"/>
  <c r="E47" i="3"/>
  <c r="J47" i="3" s="1"/>
  <c r="C48" i="3"/>
  <c r="E48" i="3"/>
  <c r="J48" i="3" s="1"/>
  <c r="C49" i="3"/>
  <c r="E49" i="3"/>
  <c r="J49" i="3" s="1"/>
  <c r="C50" i="3"/>
  <c r="E50" i="3"/>
  <c r="J50" i="3" s="1"/>
  <c r="C5" i="3" l="1"/>
  <c r="C7" i="3"/>
  <c r="C3" i="3" l="1"/>
  <c r="C6" i="3"/>
  <c r="E4" i="3"/>
  <c r="J4" i="3" s="1"/>
  <c r="E5" i="3"/>
  <c r="J5" i="3" s="1"/>
  <c r="E6" i="3"/>
  <c r="J6" i="3" s="1"/>
  <c r="E7" i="3"/>
  <c r="J7" i="3" s="1"/>
  <c r="E3" i="3"/>
  <c r="J3" i="3" s="1"/>
  <c r="B46" i="2" l="1"/>
  <c r="B43" i="2"/>
  <c r="A47" i="2"/>
  <c r="B45" i="2"/>
  <c r="A45" i="2" s="1"/>
  <c r="B44" i="2"/>
  <c r="A44" i="2" s="1"/>
  <c r="B1" i="4"/>
  <c r="D68" i="2" l="1"/>
  <c r="D52" i="2"/>
  <c r="G31" i="2" s="1"/>
  <c r="D36" i="2"/>
  <c r="D20" i="2"/>
  <c r="G3" i="2" s="1"/>
  <c r="L2" i="2"/>
  <c r="K2" i="2"/>
  <c r="J2" i="2"/>
  <c r="I2" i="2"/>
  <c r="H2" i="2"/>
  <c r="D29" i="2"/>
  <c r="E22" i="2"/>
  <c r="E23" i="2"/>
  <c r="E24" i="2"/>
  <c r="E25" i="2"/>
  <c r="E26" i="2"/>
  <c r="E27" i="2"/>
  <c r="E28" i="2"/>
  <c r="E29" i="2"/>
  <c r="E21" i="2"/>
  <c r="D22" i="2"/>
  <c r="D23" i="2"/>
  <c r="D24" i="2"/>
  <c r="D25" i="2"/>
  <c r="D26" i="2"/>
  <c r="D27" i="2"/>
  <c r="D28" i="2"/>
  <c r="D21" i="2"/>
  <c r="E69" i="2"/>
  <c r="E37" i="2"/>
  <c r="I49" i="2" s="1"/>
  <c r="D37" i="2"/>
  <c r="H49" i="2" s="1"/>
  <c r="G14" i="2"/>
  <c r="D54" i="2"/>
  <c r="H65" i="2" s="1"/>
  <c r="D55" i="2"/>
  <c r="H66" i="2" s="1"/>
  <c r="D56" i="2"/>
  <c r="H67" i="2" s="1"/>
  <c r="D57" i="2"/>
  <c r="H68" i="2" s="1"/>
  <c r="D58" i="2"/>
  <c r="H69" i="2" s="1"/>
  <c r="D59" i="2"/>
  <c r="H70" i="2" s="1"/>
  <c r="D60" i="2"/>
  <c r="H71" i="2" s="1"/>
  <c r="E54" i="2"/>
  <c r="I65" i="2" s="1"/>
  <c r="E55" i="2"/>
  <c r="I66" i="2" s="1"/>
  <c r="E56" i="2"/>
  <c r="I67" i="2" s="1"/>
  <c r="E57" i="2"/>
  <c r="I68" i="2" s="1"/>
  <c r="E58" i="2"/>
  <c r="I69" i="2" s="1"/>
  <c r="E59" i="2"/>
  <c r="I70" i="2" s="1"/>
  <c r="E60" i="2"/>
  <c r="I71" i="2" s="1"/>
  <c r="E61" i="2"/>
  <c r="I72" i="2" s="1"/>
  <c r="E62" i="2"/>
  <c r="I73" i="2" s="1"/>
  <c r="E63" i="2"/>
  <c r="I74" i="2" s="1"/>
  <c r="E64" i="2"/>
  <c r="I75" i="2" s="1"/>
  <c r="E65" i="2"/>
  <c r="I76" i="2" s="1"/>
  <c r="E66" i="2"/>
  <c r="I77" i="2" s="1"/>
  <c r="E67" i="2"/>
  <c r="I78" i="2" s="1"/>
  <c r="E53" i="2"/>
  <c r="I64" i="2" s="1"/>
  <c r="D61" i="2"/>
  <c r="H72" i="2" s="1"/>
  <c r="D62" i="2"/>
  <c r="H73" i="2" s="1"/>
  <c r="D63" i="2"/>
  <c r="H74" i="2" s="1"/>
  <c r="D64" i="2"/>
  <c r="H75" i="2" s="1"/>
  <c r="D65" i="2"/>
  <c r="H76" i="2" s="1"/>
  <c r="D66" i="2"/>
  <c r="H77" i="2" s="1"/>
  <c r="D67" i="2"/>
  <c r="H78" i="2" s="1"/>
  <c r="D53" i="2"/>
  <c r="H64" i="2" s="1"/>
  <c r="E38" i="2"/>
  <c r="I50" i="2" s="1"/>
  <c r="E39" i="2"/>
  <c r="I51" i="2" s="1"/>
  <c r="E40" i="2"/>
  <c r="I52" i="2" s="1"/>
  <c r="E41" i="2"/>
  <c r="I53" i="2" s="1"/>
  <c r="E42" i="2"/>
  <c r="I54" i="2" s="1"/>
  <c r="E43" i="2"/>
  <c r="I55" i="2" s="1"/>
  <c r="E44" i="2"/>
  <c r="I56" i="2" s="1"/>
  <c r="E45" i="2"/>
  <c r="I57" i="2" s="1"/>
  <c r="E46" i="2"/>
  <c r="I58" i="2" s="1"/>
  <c r="E47" i="2"/>
  <c r="I59" i="2" s="1"/>
  <c r="E48" i="2"/>
  <c r="I60" i="2" s="1"/>
  <c r="E49" i="2"/>
  <c r="I61" i="2" s="1"/>
  <c r="E50" i="2"/>
  <c r="I62" i="2" s="1"/>
  <c r="E51" i="2"/>
  <c r="I63" i="2" s="1"/>
  <c r="D38" i="2"/>
  <c r="H50" i="2" s="1"/>
  <c r="D39" i="2"/>
  <c r="H51" i="2" s="1"/>
  <c r="D40" i="2"/>
  <c r="H52" i="2" s="1"/>
  <c r="D41" i="2"/>
  <c r="H53" i="2" s="1"/>
  <c r="D42" i="2"/>
  <c r="H54" i="2" s="1"/>
  <c r="D43" i="2"/>
  <c r="H55" i="2" s="1"/>
  <c r="D44" i="2"/>
  <c r="H56" i="2" s="1"/>
  <c r="D45" i="2"/>
  <c r="H57" i="2" s="1"/>
  <c r="D46" i="2"/>
  <c r="H58" i="2" s="1"/>
  <c r="D47" i="2"/>
  <c r="H59" i="2" s="1"/>
  <c r="D48" i="2"/>
  <c r="H60" i="2" s="1"/>
  <c r="D49" i="2"/>
  <c r="H61" i="2" s="1"/>
  <c r="D50" i="2"/>
  <c r="H62" i="2" s="1"/>
  <c r="D51" i="2"/>
  <c r="H63" i="2" s="1"/>
  <c r="C10" i="4" l="1"/>
  <c r="C9" i="4"/>
  <c r="C8" i="4"/>
  <c r="C7" i="4"/>
  <c r="C6" i="4"/>
  <c r="C5" i="4"/>
  <c r="C3" i="4"/>
  <c r="C4" i="4"/>
  <c r="D17" i="2"/>
  <c r="D15" i="2" s="1"/>
  <c r="D13" i="2" s="1"/>
  <c r="D11" i="2" s="1"/>
  <c r="D9" i="2" s="1"/>
  <c r="D7" i="2" s="1"/>
  <c r="D3" i="2" s="1"/>
  <c r="E17" i="2"/>
  <c r="E15" i="2" s="1"/>
  <c r="E13" i="2" s="1"/>
  <c r="E11" i="2" s="1"/>
  <c r="E9" i="2" s="1"/>
  <c r="E16" i="2"/>
  <c r="E14" i="2" s="1"/>
  <c r="E12" i="2" s="1"/>
  <c r="E10" i="2" s="1"/>
  <c r="E8" i="2" s="1"/>
  <c r="E6" i="2" s="1"/>
  <c r="E4" i="2" s="1"/>
  <c r="D16" i="2"/>
  <c r="D14" i="2" s="1"/>
  <c r="D12" i="2" s="1"/>
  <c r="D10" i="2" s="1"/>
  <c r="D8" i="2" s="1"/>
  <c r="D6" i="2" l="1"/>
  <c r="D4" i="2" s="1"/>
  <c r="I13" i="2"/>
  <c r="I30" i="2"/>
  <c r="L30" i="2"/>
  <c r="L13" i="2"/>
  <c r="K13" i="2"/>
  <c r="K30" i="2"/>
  <c r="J30" i="2"/>
  <c r="J13" i="2"/>
  <c r="H30" i="2"/>
  <c r="H13" i="2"/>
  <c r="E7" i="2"/>
  <c r="B36" i="2" l="1"/>
  <c r="E5" i="2"/>
  <c r="E3" i="2" s="1"/>
  <c r="B38" i="2" s="1"/>
  <c r="F1" i="3" l="1"/>
  <c r="C16" i="1"/>
  <c r="A46" i="2"/>
  <c r="A41" i="2" l="1"/>
  <c r="B41" i="2" l="1"/>
  <c r="B21" i="1" s="1"/>
</calcChain>
</file>

<file path=xl/sharedStrings.xml><?xml version="1.0" encoding="utf-8"?>
<sst xmlns="http://schemas.openxmlformats.org/spreadsheetml/2006/main" count="383" uniqueCount="210">
  <si>
    <t>Haushaltsjahr</t>
  </si>
  <si>
    <t>Vorname</t>
  </si>
  <si>
    <t>Name</t>
  </si>
  <si>
    <t>Antragsteller</t>
  </si>
  <si>
    <t>Bereich</t>
  </si>
  <si>
    <t>Standort</t>
  </si>
  <si>
    <t>Ort</t>
  </si>
  <si>
    <t>Nur grüne Felder editieren!</t>
  </si>
  <si>
    <t>Auf keinen Fall blaue!</t>
  </si>
  <si>
    <t>Fachschaft</t>
  </si>
  <si>
    <t>Referat</t>
  </si>
  <si>
    <t>Projekt</t>
  </si>
  <si>
    <t>Suderburg</t>
  </si>
  <si>
    <t>Salzgitter</t>
  </si>
  <si>
    <t>Wolfenbüttel</t>
  </si>
  <si>
    <t>Wolfsburg</t>
  </si>
  <si>
    <t>sonst./überg.</t>
  </si>
  <si>
    <t>Kultur</t>
  </si>
  <si>
    <t>Sport</t>
  </si>
  <si>
    <t>Bau-Wasser-Boden</t>
  </si>
  <si>
    <t xml:space="preserve">Handel und Soziale Arbeit </t>
  </si>
  <si>
    <t>Verkehr-Sport-Tourismus-Medien</t>
  </si>
  <si>
    <t>Elektrotechnik</t>
  </si>
  <si>
    <t>Informatik</t>
  </si>
  <si>
    <t>Maschinenbau</t>
  </si>
  <si>
    <t>Recht</t>
  </si>
  <si>
    <t>Soziale Arbeit</t>
  </si>
  <si>
    <t>Versorgungstechnik</t>
  </si>
  <si>
    <t>Allgemein</t>
  </si>
  <si>
    <t>Fahrzeugtechnik</t>
  </si>
  <si>
    <t>Gesundheitswesen</t>
  </si>
  <si>
    <t>Wirtschaft</t>
  </si>
  <si>
    <t>Zu belastendes Budget</t>
  </si>
  <si>
    <t>Campusgremium</t>
  </si>
  <si>
    <t>Laut Haushaltsplan</t>
  </si>
  <si>
    <t>Studierendenparlament</t>
  </si>
  <si>
    <t>Budget</t>
  </si>
  <si>
    <t>Veranstaltung</t>
  </si>
  <si>
    <t>Öffentlichkeit</t>
  </si>
  <si>
    <t>Design</t>
  </si>
  <si>
    <t>Musik</t>
  </si>
  <si>
    <t>Kino</t>
  </si>
  <si>
    <t>Raum</t>
  </si>
  <si>
    <t>Ökologie</t>
  </si>
  <si>
    <t>Fahrrad</t>
  </si>
  <si>
    <t>Gleichsstellung</t>
  </si>
  <si>
    <t>Flüchtlingshilfe</t>
  </si>
  <si>
    <t>Hochschulpolitik</t>
  </si>
  <si>
    <t>Veranstaltungskalkulation/Abrechnung</t>
  </si>
  <si>
    <t>Erstsemester</t>
  </si>
  <si>
    <t>Foto</t>
  </si>
  <si>
    <t>Hochschulwahlen</t>
  </si>
  <si>
    <t>-</t>
  </si>
  <si>
    <t>Kostenstellen</t>
  </si>
  <si>
    <t>AStA-Vorstand</t>
  </si>
  <si>
    <t>StuPa-Präsidium (HW)</t>
  </si>
  <si>
    <t>Geschäftsstelle (HW)</t>
  </si>
  <si>
    <t>Emailadresse</t>
  </si>
  <si>
    <t>Telefon (optional)</t>
  </si>
  <si>
    <t>(Ostfalia-Adresse)</t>
  </si>
  <si>
    <t>Detail</t>
  </si>
  <si>
    <t>WF</t>
  </si>
  <si>
    <t>SZ</t>
  </si>
  <si>
    <t>WOB</t>
  </si>
  <si>
    <t>SUD</t>
  </si>
  <si>
    <t>HW</t>
  </si>
  <si>
    <t>Index: Dropdownauswahl</t>
  </si>
  <si>
    <t>Liste Dropdown: Detail</t>
  </si>
  <si>
    <t>2020 by Dario Wanek</t>
  </si>
  <si>
    <t>Ausgewählte Daten</t>
  </si>
  <si>
    <t>Externer Antragsteller</t>
  </si>
  <si>
    <t>Verantworteter Bereich (des Antragstellers)</t>
  </si>
  <si>
    <t>Referats/Projektauswahl für Personal</t>
  </si>
  <si>
    <t>Sozial</t>
  </si>
  <si>
    <t>Semesterticket</t>
  </si>
  <si>
    <t>Inventar</t>
  </si>
  <si>
    <t>Finanz</t>
  </si>
  <si>
    <t>Kosten-Stelle</t>
  </si>
  <si>
    <t>Gelder für Referate</t>
  </si>
  <si>
    <t>normal</t>
  </si>
  <si>
    <t>mit erhötem Aufwand</t>
  </si>
  <si>
    <t>mit stark erhötem Aufwand</t>
  </si>
  <si>
    <t>Maximale Aufwands-entschädigung</t>
  </si>
  <si>
    <t>Passwort: dw</t>
  </si>
  <si>
    <t>Reisekosten</t>
  </si>
  <si>
    <t>Aufwandsentschädigungen</t>
  </si>
  <si>
    <t>Aus-und Fortbildung / Workshop</t>
  </si>
  <si>
    <t>Vorschuss (Veranstaltungen)</t>
  </si>
  <si>
    <t>Werbung für Studierendenschaft</t>
  </si>
  <si>
    <t>Vorschuss (Materialien)</t>
  </si>
  <si>
    <t>Fremdleistungen (Externe)</t>
  </si>
  <si>
    <t>(nicht inv.)</t>
  </si>
  <si>
    <t>Posten</t>
  </si>
  <si>
    <t>Preis</t>
  </si>
  <si>
    <t>Anzahl</t>
  </si>
  <si>
    <t>Joga Matte</t>
  </si>
  <si>
    <t>Jalousie</t>
  </si>
  <si>
    <t>Lichterkette</t>
  </si>
  <si>
    <t>Rollos</t>
  </si>
  <si>
    <t>Tshirts</t>
  </si>
  <si>
    <t>Kabeltrommel</t>
  </si>
  <si>
    <t>Maus oder Tastatur</t>
  </si>
  <si>
    <t>Pullover</t>
  </si>
  <si>
    <t>Stühle</t>
  </si>
  <si>
    <t>Wasserkocher</t>
  </si>
  <si>
    <t>Handrührgerät</t>
  </si>
  <si>
    <t>Dekoartikel</t>
  </si>
  <si>
    <t>Laminiergerät</t>
  </si>
  <si>
    <t>Kochplatte</t>
  </si>
  <si>
    <t>Lagerregal (Metall)</t>
  </si>
  <si>
    <t>Pavillon</t>
  </si>
  <si>
    <t>Schreibtischlampe</t>
  </si>
  <si>
    <t>Ventilator</t>
  </si>
  <si>
    <t>Sackkarre</t>
  </si>
  <si>
    <t>Mikrowelle</t>
  </si>
  <si>
    <t>Kaffeemaschine</t>
  </si>
  <si>
    <t>Webcam</t>
  </si>
  <si>
    <t>Diebstahlschutz PC</t>
  </si>
  <si>
    <t>Bürostuhl</t>
  </si>
  <si>
    <t>CD-Player mit USB</t>
  </si>
  <si>
    <t>Externe Festplatte</t>
  </si>
  <si>
    <t>Schreibtischstuhl</t>
  </si>
  <si>
    <t>Büroregal</t>
  </si>
  <si>
    <t>Monitor</t>
  </si>
  <si>
    <t>Schrank</t>
  </si>
  <si>
    <t>Grill + Zubehör</t>
  </si>
  <si>
    <t>Tisch</t>
  </si>
  <si>
    <t>Kühlschrank</t>
  </si>
  <si>
    <t>Popcornmaschine</t>
  </si>
  <si>
    <t>PC</t>
  </si>
  <si>
    <t>Sofa</t>
  </si>
  <si>
    <t>Wertmarken</t>
  </si>
  <si>
    <t>Drucker</t>
  </si>
  <si>
    <t>Kameratasche</t>
  </si>
  <si>
    <t>Garderobenständer</t>
  </si>
  <si>
    <t>Erstifiebel</t>
  </si>
  <si>
    <t>Buchstützen</t>
  </si>
  <si>
    <t>Kamera</t>
  </si>
  <si>
    <t>Flyer</t>
  </si>
  <si>
    <t>Presenter</t>
  </si>
  <si>
    <t>Kabeltrommel (Outdoor)</t>
  </si>
  <si>
    <t>Gasgrill</t>
  </si>
  <si>
    <t>Präsenationsmonitor</t>
  </si>
  <si>
    <t>Schubkarre</t>
  </si>
  <si>
    <t>Vordosierer</t>
  </si>
  <si>
    <t>Einfaches Geschirrset (6x)</t>
  </si>
  <si>
    <t>Laptop oder PC</t>
  </si>
  <si>
    <t>Drucker (Multifunktionsdrucker) mit Toner</t>
  </si>
  <si>
    <t>Konto</t>
  </si>
  <si>
    <t>Index</t>
  </si>
  <si>
    <t>Stückzahl / Beantragte Anzahl</t>
  </si>
  <si>
    <t>Kosten in Summe / Beantragte Mittel</t>
  </si>
  <si>
    <t>Index aus Normalpreisliste</t>
  </si>
  <si>
    <t>Maximale Mittel laut Normalpreisliste</t>
  </si>
  <si>
    <t>Bierzeltgarnitur (Tisch+2 Bänke)</t>
  </si>
  <si>
    <t>Inventarisierung Notwendig</t>
  </si>
  <si>
    <t>Ja</t>
  </si>
  <si>
    <t>Nein</t>
  </si>
  <si>
    <t>Version</t>
  </si>
  <si>
    <t>Inventarisierungs-Dopdown</t>
  </si>
  <si>
    <t>Konten</t>
  </si>
  <si>
    <t>Soll trotz geringem Wert inventarisiert werden</t>
  </si>
  <si>
    <t>Letzte Aktualisierung</t>
  </si>
  <si>
    <t>Hinweistexte für Grunddaten</t>
  </si>
  <si>
    <t>Personaltabelle</t>
  </si>
  <si>
    <t>Priorität</t>
  </si>
  <si>
    <t>Text</t>
  </si>
  <si>
    <t>- Grunddaten müssen ausgefüllt werden! -</t>
  </si>
  <si>
    <t>Anschaff.</t>
  </si>
  <si>
    <t>Pers.</t>
  </si>
  <si>
    <t>Kommentar / Begründung</t>
  </si>
  <si>
    <t>Vorstand</t>
  </si>
  <si>
    <t>Vorschuss</t>
  </si>
  <si>
    <t>Änderung</t>
  </si>
  <si>
    <t>Gründung</t>
  </si>
  <si>
    <t>Anlagev.</t>
  </si>
  <si>
    <t>ab</t>
  </si>
  <si>
    <t>ab min.</t>
  </si>
  <si>
    <t>Grenze für Inventarisierung (Ansch.):</t>
  </si>
  <si>
    <t>Anzahl der Anträge:</t>
  </si>
  <si>
    <t>Chor</t>
  </si>
  <si>
    <t>Eigene / Zugehörige Budget</t>
  </si>
  <si>
    <t>Standort (Ort)</t>
  </si>
  <si>
    <t>Antragstyp (Bereich)</t>
  </si>
  <si>
    <t>Budget (Budget)</t>
  </si>
  <si>
    <t>Bei großen Änderungen (Neue Zahlenbereiche) die Funktion "Kostenstelle" (VBA-Modul Funktionen) in der Zusammenfassungsdatei kontrollieren!</t>
  </si>
  <si>
    <t>Projekt A</t>
  </si>
  <si>
    <t>Projekt B</t>
  </si>
  <si>
    <t>Projekt C</t>
  </si>
  <si>
    <t>Projekt D</t>
  </si>
  <si>
    <r>
      <t xml:space="preserve">Begrüngung der Anschaffung (Ausführlich!)
</t>
    </r>
    <r>
      <rPr>
        <b/>
        <sz val="10"/>
        <color theme="0" tint="-0.499984740745262"/>
        <rFont val="Calibri"/>
        <family val="2"/>
        <scheme val="minor"/>
      </rPr>
      <t>[Die Begründung darf nur in der zugeordneten Zelle (gleiche Zeile) stehen. 
Der Text kann jedoch sehr lang sein. 
Einen Zeilenumbruch in der Zelle kann mit ALT+EINGABE erzeugt werden.]</t>
    </r>
  </si>
  <si>
    <t>Anschaffungen / Sachgegenstände</t>
  </si>
  <si>
    <t>&gt;&gt; unsicher / nicht aufgeführt &lt;&lt;</t>
  </si>
  <si>
    <r>
      <t xml:space="preserve">Art der Kosten
</t>
    </r>
    <r>
      <rPr>
        <b/>
        <sz val="10"/>
        <color theme="0" tint="-0.499984740745262"/>
        <rFont val="Calibri"/>
        <family val="2"/>
        <scheme val="minor"/>
      </rPr>
      <t>[Auswahl aus Dropdownliste]</t>
    </r>
  </si>
  <si>
    <r>
      <t xml:space="preserve">Bezeichnung der Anschaffung
</t>
    </r>
    <r>
      <rPr>
        <b/>
        <sz val="10"/>
        <color theme="0" tint="-0.499984740745262"/>
        <rFont val="Calibri"/>
        <family val="2"/>
        <scheme val="minor"/>
      </rPr>
      <t>[Freie Eingabe oder Dropdownliste]</t>
    </r>
  </si>
  <si>
    <r>
      <t xml:space="preserve">Referat oder Projekt
</t>
    </r>
    <r>
      <rPr>
        <b/>
        <sz val="10"/>
        <color theme="0" tint="-0.499984740745262"/>
        <rFont val="Calibri"/>
        <family val="2"/>
        <scheme val="minor"/>
      </rPr>
      <t>[Auswahl aus Dropdownliste]</t>
    </r>
  </si>
  <si>
    <r>
      <t xml:space="preserve">Art des Antrags
</t>
    </r>
    <r>
      <rPr>
        <b/>
        <sz val="10"/>
        <color theme="0" tint="-0.499984740745262"/>
        <rFont val="Calibri"/>
        <family val="2"/>
        <scheme val="minor"/>
      </rPr>
      <t>[Dropdown]</t>
    </r>
  </si>
  <si>
    <t>LAN</t>
  </si>
  <si>
    <t>Werbung mit Sponseringvertrag</t>
  </si>
  <si>
    <t>V. Formeln</t>
  </si>
  <si>
    <t>IT</t>
  </si>
  <si>
    <t>Fahrradreferat WF</t>
  </si>
  <si>
    <t>Nachhaltigkeit</t>
  </si>
  <si>
    <t>Digitalisierung</t>
  </si>
  <si>
    <t>Merchandise</t>
  </si>
  <si>
    <t>Veranstaltungskalkulation</t>
  </si>
  <si>
    <t>StuPa-Präsidum/HAV</t>
  </si>
  <si>
    <t>2021 by Dario Wanek</t>
  </si>
  <si>
    <t>Mobilitäts</t>
  </si>
  <si>
    <t>Medien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</si>
</sst>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8FFC8"/>
        <bgColor indexed="64"/>
      </patternFill>
    </fill>
    <fill>
      <patternFill patternType="solid">
        <fgColor rgb="FF96C8FF"/>
        <bgColor indexed="64"/>
      </patternFill>
    </fill>
    <fill>
      <patternFill patternType="solid">
        <fgColor rgb="FF9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3" fillId="0" borderId="0"/>
  </cellStyleXfs>
  <cellXfs count="155">
    <xf numFmtId="0" fontId="0" fillId="0" borderId="0" xfId="0"/>
    <xf numFmtId="0" fontId="0" fillId="4" borderId="6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5" borderId="0" xfId="0" applyFill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0" xfId="0" quotePrefix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left"/>
    </xf>
    <xf numFmtId="0" fontId="0" fillId="0" borderId="21" xfId="0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9" fillId="5" borderId="0" xfId="0" applyFont="1" applyFill="1" applyProtection="1"/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1" fillId="0" borderId="4" xfId="3" applyFont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left" vertical="center"/>
    </xf>
    <xf numFmtId="0" fontId="7" fillId="0" borderId="0" xfId="0" applyFont="1"/>
    <xf numFmtId="0" fontId="0" fillId="2" borderId="30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15" fillId="0" borderId="4" xfId="0" applyFont="1" applyBorder="1" applyAlignment="1" applyProtection="1">
      <alignment horizontal="center" textRotation="90" wrapText="1"/>
    </xf>
    <xf numFmtId="0" fontId="1" fillId="0" borderId="4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horizontal="center"/>
    </xf>
    <xf numFmtId="165" fontId="0" fillId="0" borderId="30" xfId="0" applyNumberFormat="1" applyBorder="1" applyProtection="1"/>
    <xf numFmtId="165" fontId="0" fillId="0" borderId="29" xfId="0" applyNumberFormat="1" applyBorder="1" applyProtection="1"/>
    <xf numFmtId="0" fontId="13" fillId="2" borderId="30" xfId="0" applyFont="1" applyFill="1" applyBorder="1" applyProtection="1">
      <protection locked="0"/>
    </xf>
    <xf numFmtId="3" fontId="0" fillId="2" borderId="30" xfId="0" applyNumberFormat="1" applyFill="1" applyBorder="1" applyProtection="1">
      <protection locked="0"/>
    </xf>
    <xf numFmtId="165" fontId="0" fillId="2" borderId="30" xfId="0" applyNumberFormat="1" applyFill="1" applyBorder="1" applyProtection="1">
      <protection locked="0"/>
    </xf>
    <xf numFmtId="0" fontId="13" fillId="2" borderId="29" xfId="0" applyFont="1" applyFill="1" applyBorder="1" applyProtection="1">
      <protection locked="0"/>
    </xf>
    <xf numFmtId="3" fontId="0" fillId="2" borderId="29" xfId="0" applyNumberFormat="1" applyFill="1" applyBorder="1" applyProtection="1">
      <protection locked="0"/>
    </xf>
    <xf numFmtId="165" fontId="0" fillId="2" borderId="29" xfId="0" applyNumberFormat="1" applyFill="1" applyBorder="1" applyProtection="1">
      <protection locked="0"/>
    </xf>
    <xf numFmtId="0" fontId="11" fillId="0" borderId="0" xfId="3" applyFont="1" applyFill="1" applyBorder="1" applyAlignment="1">
      <alignment horizontal="right" vertical="center"/>
    </xf>
    <xf numFmtId="0" fontId="0" fillId="8" borderId="6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center"/>
      <protection locked="0"/>
    </xf>
    <xf numFmtId="0" fontId="0" fillId="8" borderId="8" xfId="0" applyFill="1" applyBorder="1" applyAlignment="1" applyProtection="1">
      <alignment horizontal="center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left"/>
      <protection locked="0"/>
    </xf>
    <xf numFmtId="0" fontId="0" fillId="8" borderId="17" xfId="0" applyFill="1" applyBorder="1" applyAlignment="1" applyProtection="1">
      <alignment horizontal="left"/>
      <protection locked="0"/>
    </xf>
    <xf numFmtId="0" fontId="0" fillId="8" borderId="11" xfId="0" applyFill="1" applyBorder="1" applyAlignment="1" applyProtection="1">
      <alignment horizontal="left"/>
      <protection locked="0"/>
    </xf>
    <xf numFmtId="0" fontId="6" fillId="8" borderId="12" xfId="0" applyFont="1" applyFill="1" applyBorder="1" applyAlignment="1" applyProtection="1">
      <alignment horizontal="left"/>
      <protection locked="0"/>
    </xf>
    <xf numFmtId="0" fontId="6" fillId="8" borderId="14" xfId="0" applyFont="1" applyFill="1" applyBorder="1" applyAlignment="1" applyProtection="1">
      <alignment horizontal="left"/>
      <protection locked="0"/>
    </xf>
    <xf numFmtId="0" fontId="6" fillId="8" borderId="16" xfId="0" applyFont="1" applyFill="1" applyBorder="1" applyAlignment="1" applyProtection="1">
      <alignment horizontal="left"/>
      <protection locked="0"/>
    </xf>
    <xf numFmtId="0" fontId="0" fillId="8" borderId="12" xfId="0" applyFill="1" applyBorder="1" applyAlignment="1" applyProtection="1">
      <alignment horizontal="left"/>
      <protection locked="0"/>
    </xf>
    <xf numFmtId="0" fontId="0" fillId="8" borderId="14" xfId="0" applyFill="1" applyBorder="1" applyAlignment="1" applyProtection="1">
      <alignment horizontal="left"/>
      <protection locked="0"/>
    </xf>
    <xf numFmtId="0" fontId="0" fillId="8" borderId="16" xfId="0" applyFill="1" applyBorder="1" applyAlignment="1" applyProtection="1">
      <alignment horizontal="left"/>
      <protection locked="0"/>
    </xf>
    <xf numFmtId="0" fontId="0" fillId="9" borderId="6" xfId="0" applyFill="1" applyBorder="1" applyAlignment="1" applyProtection="1">
      <alignment horizontal="left"/>
    </xf>
    <xf numFmtId="0" fontId="0" fillId="9" borderId="7" xfId="0" applyFill="1" applyBorder="1" applyAlignment="1" applyProtection="1">
      <alignment horizontal="left"/>
    </xf>
    <xf numFmtId="0" fontId="0" fillId="9" borderId="8" xfId="0" applyFill="1" applyBorder="1" applyAlignment="1" applyProtection="1">
      <alignment horizontal="left"/>
    </xf>
    <xf numFmtId="0" fontId="0" fillId="9" borderId="9" xfId="0" applyFill="1" applyBorder="1" applyAlignment="1" applyProtection="1">
      <alignment horizontal="left"/>
    </xf>
    <xf numFmtId="0" fontId="0" fillId="9" borderId="10" xfId="0" applyFill="1" applyBorder="1" applyAlignment="1" applyProtection="1">
      <alignment horizontal="left"/>
    </xf>
    <xf numFmtId="0" fontId="0" fillId="9" borderId="11" xfId="0" applyFill="1" applyBorder="1" applyAlignment="1" applyProtection="1">
      <alignment horizontal="left"/>
    </xf>
    <xf numFmtId="0" fontId="0" fillId="9" borderId="7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12" fillId="8" borderId="0" xfId="3" applyFont="1" applyFill="1" applyBorder="1" applyAlignment="1">
      <alignment horizontal="left" wrapText="1"/>
    </xf>
    <xf numFmtId="165" fontId="12" fillId="8" borderId="0" xfId="3" applyNumberFormat="1" applyFont="1" applyFill="1" applyBorder="1" applyAlignment="1">
      <alignment horizontal="right" vertical="top" wrapText="1"/>
    </xf>
    <xf numFmtId="1" fontId="12" fillId="8" borderId="0" xfId="3" applyNumberFormat="1" applyFont="1" applyFill="1" applyBorder="1"/>
    <xf numFmtId="0" fontId="12" fillId="8" borderId="0" xfId="3" applyFont="1" applyFill="1" applyBorder="1" applyAlignment="1">
      <alignment horizontal="left"/>
    </xf>
    <xf numFmtId="165" fontId="12" fillId="8" borderId="0" xfId="3" applyNumberFormat="1" applyFont="1" applyFill="1" applyBorder="1" applyAlignment="1">
      <alignment horizontal="right"/>
    </xf>
    <xf numFmtId="0" fontId="0" fillId="8" borderId="0" xfId="0" applyFill="1"/>
    <xf numFmtId="14" fontId="0" fillId="8" borderId="1" xfId="0" applyNumberFormat="1" applyFill="1" applyBorder="1"/>
    <xf numFmtId="0" fontId="0" fillId="9" borderId="0" xfId="0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left"/>
    </xf>
    <xf numFmtId="0" fontId="8" fillId="8" borderId="0" xfId="3" applyFont="1" applyFill="1" applyBorder="1" applyAlignment="1">
      <alignment horizontal="left" wrapText="1"/>
    </xf>
    <xf numFmtId="0" fontId="10" fillId="9" borderId="0" xfId="0" applyFont="1" applyFill="1" applyBorder="1" applyAlignment="1" applyProtection="1">
      <alignment horizontal="left"/>
    </xf>
    <xf numFmtId="165" fontId="8" fillId="8" borderId="0" xfId="3" applyNumberFormat="1" applyFont="1" applyFill="1" applyBorder="1" applyAlignment="1">
      <alignment horizontal="right" wrapText="1"/>
    </xf>
    <xf numFmtId="0" fontId="10" fillId="10" borderId="0" xfId="0" applyFont="1" applyFill="1" applyBorder="1" applyAlignment="1" applyProtection="1">
      <alignment horizontal="left"/>
    </xf>
    <xf numFmtId="0" fontId="0" fillId="9" borderId="2" xfId="0" applyFill="1" applyBorder="1" applyAlignment="1" applyProtection="1">
      <alignment horizontal="left"/>
    </xf>
    <xf numFmtId="0" fontId="0" fillId="9" borderId="5" xfId="0" applyFill="1" applyBorder="1" applyAlignment="1" applyProtection="1">
      <alignment horizontal="left"/>
    </xf>
    <xf numFmtId="0" fontId="0" fillId="9" borderId="1" xfId="0" applyFill="1" applyBorder="1" applyAlignment="1" applyProtection="1">
      <alignment horizontal="left"/>
    </xf>
    <xf numFmtId="0" fontId="0" fillId="6" borderId="24" xfId="0" applyFill="1" applyBorder="1" applyAlignment="1" applyProtection="1">
      <alignment horizontal="left"/>
      <protection locked="0"/>
    </xf>
    <xf numFmtId="0" fontId="0" fillId="6" borderId="25" xfId="0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5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 vertical="top"/>
    </xf>
    <xf numFmtId="0" fontId="0" fillId="8" borderId="10" xfId="0" applyFill="1" applyBorder="1" applyAlignment="1" applyProtection="1">
      <alignment horizontal="center"/>
      <protection locked="0"/>
    </xf>
    <xf numFmtId="0" fontId="0" fillId="8" borderId="17" xfId="0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0" fillId="2" borderId="3" xfId="0" quotePrefix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2" borderId="31" xfId="0" applyFill="1" applyBorder="1" applyProtection="1">
      <protection locked="0"/>
    </xf>
    <xf numFmtId="0" fontId="0" fillId="0" borderId="31" xfId="0" applyBorder="1" applyProtection="1">
      <protection hidden="1"/>
    </xf>
    <xf numFmtId="165" fontId="0" fillId="2" borderId="31" xfId="0" applyNumberFormat="1" applyFill="1" applyBorder="1" applyProtection="1">
      <protection locked="0"/>
    </xf>
    <xf numFmtId="164" fontId="0" fillId="2" borderId="31" xfId="0" applyNumberFormat="1" applyFill="1" applyBorder="1" applyProtection="1">
      <protection locked="0"/>
    </xf>
    <xf numFmtId="0" fontId="0" fillId="0" borderId="29" xfId="0" applyBorder="1" applyProtection="1">
      <protection hidden="1"/>
    </xf>
    <xf numFmtId="164" fontId="0" fillId="2" borderId="29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10" fillId="11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8" borderId="6" xfId="0" applyFont="1" applyFill="1" applyBorder="1" applyAlignment="1" applyProtection="1">
      <alignment horizontal="left"/>
    </xf>
    <xf numFmtId="0" fontId="6" fillId="8" borderId="8" xfId="0" applyFont="1" applyFill="1" applyBorder="1" applyAlignment="1" applyProtection="1">
      <alignment horizontal="left"/>
    </xf>
    <xf numFmtId="0" fontId="5" fillId="8" borderId="8" xfId="0" applyFont="1" applyFill="1" applyBorder="1" applyAlignment="1" applyProtection="1">
      <alignment horizontal="left"/>
    </xf>
    <xf numFmtId="0" fontId="5" fillId="8" borderId="1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6" fillId="8" borderId="10" xfId="0" applyFont="1" applyFill="1" applyBorder="1" applyAlignment="1" applyProtection="1">
      <alignment horizontal="left"/>
    </xf>
    <xf numFmtId="0" fontId="0" fillId="6" borderId="24" xfId="0" applyFill="1" applyBorder="1" applyAlignment="1" applyProtection="1">
      <alignment horizontal="left"/>
    </xf>
    <xf numFmtId="0" fontId="0" fillId="6" borderId="25" xfId="0" applyFill="1" applyBorder="1" applyAlignment="1" applyProtection="1">
      <alignment horizontal="left"/>
    </xf>
    <xf numFmtId="0" fontId="0" fillId="6" borderId="18" xfId="0" applyFill="1" applyBorder="1" applyAlignment="1" applyProtection="1">
      <alignment horizontal="left"/>
    </xf>
    <xf numFmtId="0" fontId="0" fillId="6" borderId="19" xfId="0" applyFill="1" applyBorder="1" applyAlignment="1" applyProtection="1">
      <alignment horizontal="left"/>
    </xf>
    <xf numFmtId="0" fontId="0" fillId="6" borderId="20" xfId="0" applyFill="1" applyBorder="1" applyAlignment="1" applyProtection="1">
      <alignment horizontal="left"/>
    </xf>
    <xf numFmtId="0" fontId="0" fillId="6" borderId="21" xfId="0" applyFill="1" applyBorder="1" applyAlignment="1" applyProtection="1">
      <alignment horizontal="left"/>
    </xf>
    <xf numFmtId="0" fontId="0" fillId="10" borderId="0" xfId="0" applyFont="1" applyFill="1" applyBorder="1" applyAlignment="1" applyProtection="1">
      <alignment horizontal="left"/>
    </xf>
    <xf numFmtId="0" fontId="19" fillId="5" borderId="0" xfId="0" applyFont="1" applyFill="1" applyAlignment="1" applyProtection="1">
      <alignment horizontal="right" vertical="top"/>
      <protection hidden="1"/>
    </xf>
    <xf numFmtId="0" fontId="17" fillId="0" borderId="0" xfId="0" applyFont="1" applyProtection="1">
      <protection hidden="1"/>
    </xf>
    <xf numFmtId="0" fontId="0" fillId="13" borderId="0" xfId="0" applyFill="1" applyAlignment="1">
      <alignment horizontal="left"/>
    </xf>
    <xf numFmtId="0" fontId="0" fillId="8" borderId="6" xfId="0" applyNumberFormat="1" applyFill="1" applyBorder="1" applyAlignment="1" applyProtection="1">
      <alignment horizontal="center"/>
      <protection locked="0"/>
    </xf>
    <xf numFmtId="0" fontId="0" fillId="8" borderId="8" xfId="0" applyNumberFormat="1" applyFill="1" applyBorder="1" applyAlignment="1" applyProtection="1">
      <alignment horizontal="center"/>
      <protection locked="0"/>
    </xf>
    <xf numFmtId="0" fontId="7" fillId="5" borderId="0" xfId="0" quotePrefix="1" applyFon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left"/>
    </xf>
    <xf numFmtId="0" fontId="0" fillId="5" borderId="26" xfId="0" applyFill="1" applyBorder="1" applyAlignment="1" applyProtection="1">
      <alignment horizontal="left" vertical="top" wrapText="1"/>
      <protection hidden="1"/>
    </xf>
    <xf numFmtId="0" fontId="0" fillId="5" borderId="27" xfId="0" applyFill="1" applyBorder="1" applyAlignment="1" applyProtection="1">
      <alignment horizontal="left" vertical="top" wrapText="1"/>
      <protection hidden="1"/>
    </xf>
    <xf numFmtId="0" fontId="0" fillId="5" borderId="28" xfId="0" applyFill="1" applyBorder="1" applyAlignment="1" applyProtection="1">
      <alignment horizontal="left" vertical="top" wrapText="1"/>
      <protection hidden="1"/>
    </xf>
    <xf numFmtId="0" fontId="0" fillId="5" borderId="0" xfId="0" applyFill="1" applyAlignment="1" applyProtection="1">
      <alignment horizontal="left" vertical="top"/>
    </xf>
    <xf numFmtId="0" fontId="1" fillId="0" borderId="0" xfId="0" applyFont="1" applyBorder="1" applyAlignment="1" applyProtection="1">
      <alignment horizontal="center" textRotation="90" wrapText="1"/>
    </xf>
    <xf numFmtId="0" fontId="1" fillId="0" borderId="4" xfId="0" applyFont="1" applyBorder="1" applyAlignment="1" applyProtection="1">
      <alignment horizontal="center" textRotation="90" wrapText="1"/>
    </xf>
    <xf numFmtId="0" fontId="7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16" fillId="12" borderId="24" xfId="0" applyFont="1" applyFill="1" applyBorder="1" applyAlignment="1" applyProtection="1">
      <alignment horizontal="center" vertical="center"/>
      <protection locked="0"/>
    </xf>
    <xf numFmtId="0" fontId="16" fillId="12" borderId="32" xfId="0" applyFont="1" applyFill="1" applyBorder="1" applyAlignment="1" applyProtection="1">
      <alignment horizontal="center" vertical="center"/>
      <protection locked="0"/>
    </xf>
    <xf numFmtId="0" fontId="16" fillId="12" borderId="2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19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center" vertical="center" textRotation="9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right" vertical="center" textRotation="90"/>
    </xf>
  </cellXfs>
  <cellStyles count="4">
    <cellStyle name="Standard" xfId="0" builtinId="0"/>
    <cellStyle name="Standard 2" xfId="1"/>
    <cellStyle name="Standard 4" xfId="3"/>
    <cellStyle name="Standard 5" xfId="2"/>
  </cellStyles>
  <dxfs count="0"/>
  <tableStyles count="0" defaultTableStyle="TableStyleMedium2" defaultPivotStyle="PivotStyleLight16"/>
  <colors>
    <mruColors>
      <color rgb="FF96FFFF"/>
      <color rgb="FFC8FFC8"/>
      <color rgb="FF96C8FF"/>
      <color rgb="FF9B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22" fmlaLink="Kostenstelle!$B$9" fmlaRange="Kostenstelle!$B$21:$B$24" noThreeD="1" sel="4" val="0"/>
</file>

<file path=xl/ctrlProps/ctrlProp2.xml><?xml version="1.0" encoding="utf-8"?>
<formControlPr xmlns="http://schemas.microsoft.com/office/spreadsheetml/2009/9/main" objectType="Drop" dropLines="5" dropStyle="combo" dx="22" fmlaLink="Kostenstelle!$B$8" fmlaRange="Kostenstelle!$B$14:$B$18" noThreeD="1" sel="5" val="0"/>
</file>

<file path=xl/ctrlProps/ctrlProp3.xml><?xml version="1.0" encoding="utf-8"?>
<formControlPr xmlns="http://schemas.microsoft.com/office/spreadsheetml/2009/9/main" objectType="Drop" dropLines="15" dropStyle="combo" dx="22" fmlaLink="Kostenstelle!$B$10" fmlaRange="Kostenstelle!$D$3:$D$17" noThreeD="1" sel="4" val="0"/>
</file>

<file path=xl/ctrlProps/ctrlProp4.xml><?xml version="1.0" encoding="utf-8"?>
<formControlPr xmlns="http://schemas.microsoft.com/office/spreadsheetml/2009/9/main" objectType="Drop" dropLines="5" dropStyle="combo" dx="22" fmlaLink="Kostenstelle!$B$11" fmlaRange="Kostenstelle!$B$27:$B$31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13</xdr:row>
          <xdr:rowOff>19050</xdr:rowOff>
        </xdr:from>
        <xdr:to>
          <xdr:col>3</xdr:col>
          <xdr:colOff>752475</xdr:colOff>
          <xdr:row>14</xdr:row>
          <xdr:rowOff>0</xdr:rowOff>
        </xdr:to>
        <xdr:sp macro="" textlink="">
          <xdr:nvSpPr>
            <xdr:cNvPr id="1026" name="DD_ANTyp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12</xdr:row>
          <xdr:rowOff>19050</xdr:rowOff>
        </xdr:from>
        <xdr:to>
          <xdr:col>3</xdr:col>
          <xdr:colOff>752475</xdr:colOff>
          <xdr:row>13</xdr:row>
          <xdr:rowOff>0</xdr:rowOff>
        </xdr:to>
        <xdr:sp macro="" textlink="">
          <xdr:nvSpPr>
            <xdr:cNvPr id="1027" name="DD_ANTyp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14</xdr:row>
          <xdr:rowOff>19050</xdr:rowOff>
        </xdr:from>
        <xdr:to>
          <xdr:col>3</xdr:col>
          <xdr:colOff>752475</xdr:colOff>
          <xdr:row>15</xdr:row>
          <xdr:rowOff>0</xdr:rowOff>
        </xdr:to>
        <xdr:sp macro="" textlink="">
          <xdr:nvSpPr>
            <xdr:cNvPr id="1028" name="DD_ANTyp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18</xdr:row>
          <xdr:rowOff>28575</xdr:rowOff>
        </xdr:from>
        <xdr:to>
          <xdr:col>3</xdr:col>
          <xdr:colOff>723900</xdr:colOff>
          <xdr:row>19</xdr:row>
          <xdr:rowOff>9525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GD"/>
  <dimension ref="B2:E22"/>
  <sheetViews>
    <sheetView showGridLines="0" showRowColHeaders="0" tabSelected="1" workbookViewId="0">
      <selection activeCell="D7" sqref="D7"/>
    </sheetView>
  </sheetViews>
  <sheetFormatPr baseColWidth="10" defaultRowHeight="18.75" customHeight="1" x14ac:dyDescent="0.25"/>
  <cols>
    <col min="1" max="1" width="11.42578125" style="12"/>
    <col min="2" max="2" width="7.7109375" style="12" customWidth="1"/>
    <col min="3" max="3" width="24" style="12" customWidth="1"/>
    <col min="4" max="4" width="22.85546875" style="12" customWidth="1"/>
    <col min="5" max="5" width="19.5703125" style="12" customWidth="1"/>
    <col min="6" max="16384" width="11.42578125" style="12"/>
  </cols>
  <sheetData>
    <row r="2" spans="2:5" ht="18.75" customHeight="1" x14ac:dyDescent="0.25">
      <c r="B2" s="134" t="s">
        <v>167</v>
      </c>
      <c r="C2" s="135"/>
      <c r="D2" s="135"/>
      <c r="E2" s="135"/>
    </row>
    <row r="4" spans="2:5" ht="18.75" customHeight="1" x14ac:dyDescent="0.25">
      <c r="B4" s="136" t="s">
        <v>0</v>
      </c>
      <c r="C4" s="136"/>
      <c r="D4" s="37">
        <v>2021</v>
      </c>
    </row>
    <row r="6" spans="2:5" ht="18.75" customHeight="1" x14ac:dyDescent="0.25">
      <c r="B6" s="136" t="s">
        <v>3</v>
      </c>
      <c r="C6" s="136"/>
    </row>
    <row r="7" spans="2:5" ht="18.75" customHeight="1" x14ac:dyDescent="0.25">
      <c r="C7" s="12" t="s">
        <v>1</v>
      </c>
      <c r="D7" s="41"/>
    </row>
    <row r="8" spans="2:5" ht="18.75" customHeight="1" x14ac:dyDescent="0.25">
      <c r="C8" s="12" t="s">
        <v>2</v>
      </c>
      <c r="D8" s="42"/>
    </row>
    <row r="9" spans="2:5" ht="18.75" customHeight="1" x14ac:dyDescent="0.25">
      <c r="C9" s="12" t="s">
        <v>57</v>
      </c>
      <c r="D9" s="42"/>
      <c r="E9" s="12" t="s">
        <v>59</v>
      </c>
    </row>
    <row r="10" spans="2:5" ht="18.75" customHeight="1" x14ac:dyDescent="0.25">
      <c r="C10" s="32" t="s">
        <v>58</v>
      </c>
      <c r="D10" s="103"/>
    </row>
    <row r="12" spans="2:5" ht="18.75" customHeight="1" x14ac:dyDescent="0.25">
      <c r="B12" s="136" t="s">
        <v>71</v>
      </c>
      <c r="C12" s="136"/>
      <c r="D12" s="136"/>
    </row>
    <row r="13" spans="2:5" ht="18.75" customHeight="1" x14ac:dyDescent="0.25">
      <c r="C13" s="136" t="s">
        <v>5</v>
      </c>
      <c r="D13" s="136"/>
    </row>
    <row r="14" spans="2:5" ht="18.75" customHeight="1" x14ac:dyDescent="0.25">
      <c r="C14" s="136" t="s">
        <v>4</v>
      </c>
      <c r="D14" s="136"/>
    </row>
    <row r="15" spans="2:5" ht="18.75" customHeight="1" x14ac:dyDescent="0.25">
      <c r="C15" s="136" t="s">
        <v>60</v>
      </c>
      <c r="D15" s="136"/>
    </row>
    <row r="16" spans="2:5" ht="18.75" customHeight="1" x14ac:dyDescent="0.25">
      <c r="C16" s="136" t="str">
        <f ca="1">CONCATENATE("         Kostenstelle: ",Kostenstelle!B38)</f>
        <v xml:space="preserve">         Kostenstelle: 500</v>
      </c>
      <c r="D16" s="136"/>
    </row>
    <row r="18" spans="2:5" ht="18.75" customHeight="1" x14ac:dyDescent="0.25">
      <c r="B18" s="140" t="s">
        <v>32</v>
      </c>
      <c r="C18" s="140"/>
      <c r="D18" s="140"/>
    </row>
    <row r="19" spans="2:5" ht="18.75" customHeight="1" x14ac:dyDescent="0.25">
      <c r="B19" s="140"/>
      <c r="C19" s="140"/>
      <c r="D19" s="140"/>
    </row>
    <row r="21" spans="2:5" ht="59.25" customHeight="1" x14ac:dyDescent="0.25">
      <c r="B21" s="137" t="str">
        <f>Kostenstelle!B41</f>
        <v xml:space="preserve"> </v>
      </c>
      <c r="C21" s="138"/>
      <c r="D21" s="138"/>
      <c r="E21" s="139"/>
    </row>
    <row r="22" spans="2:5" ht="18.75" customHeight="1" x14ac:dyDescent="0.25">
      <c r="E22" s="129" t="str">
        <f>CONCATENATE("Version Kst.: 1.",Kostenstelle!B5," Konto: 1.",'Konto &amp; Allgemein'!B5," mit Normpreisliste vom ",TEXT(Normalpreisliste!G1,"TT.MM.JJJJ")," (Version F 1.",'Konto &amp; Allgemein'!B6,")")</f>
        <v>Version Kst.: 1.9 Konto: 1.5 mit Normpreisliste vom 23.03.2021 (Version F 1.2)</v>
      </c>
    </row>
  </sheetData>
  <sheetProtection algorithmName="SHA-512" hashValue="n/bEDW5DviyTmso/hJkS54DI7RQO30WM7Ul97bnU1gV8WK2KSzrvTVi8awhtLgQntX+UwwQg2+1dwJAM4hmhiA==" saltValue="pYKp+wpSzNKPW4v1aeNIBg==" spinCount="100000" sheet="1" objects="1" scenarios="1"/>
  <mergeCells count="10">
    <mergeCell ref="B2:E2"/>
    <mergeCell ref="B4:C4"/>
    <mergeCell ref="B6:C6"/>
    <mergeCell ref="B21:E21"/>
    <mergeCell ref="B12:D12"/>
    <mergeCell ref="B18:D19"/>
    <mergeCell ref="C13:D13"/>
    <mergeCell ref="C14:D14"/>
    <mergeCell ref="C15:D15"/>
    <mergeCell ref="C16:D16"/>
  </mergeCells>
  <dataValidations count="8">
    <dataValidation allowBlank="1" showInputMessage="1" showErrorMessage="1" promptTitle="Optionale Telefonnummer" prompt="Nummer wird dem StuPa-Präsidium und evtl. dem Haushaltsauschuss für Rückfragen zugänglich gemacht._x000a_Während der StuPa-Sitzung wird die Telefonnummer nicht gezeigt." sqref="D10"/>
    <dataValidation allowBlank="1" showInputMessage="1" showErrorMessage="1" promptTitle="Email-Adresse" prompt="- Zum Nachweis der Legitimation auf bestimmte Mittel der Studierendenschaft zuzugreifen sollte die Email-Adresse hier eingetragen werden und von dieser ebenfalls die Datei versendet werden._x000a_- Nachfragen werden ebenfalls an diese Adresse gestellt." sqref="D9"/>
    <dataValidation allowBlank="1" showInputMessage="1" showErrorMessage="1" promptTitle="Name" prompt="Nachname des Antragstellers" sqref="D8"/>
    <dataValidation allowBlank="1" showInputMessage="1" showErrorMessage="1" promptTitle="Vorname" prompt="Vorname des Antragstellers" sqref="D7"/>
    <dataValidation allowBlank="1" showInputMessage="1" showErrorMessage="1" promptTitle="Haushaltsjahr" prompt="Stimmt das Jahr nicht mit dem aktuellen überein, bitte vom Vorstand bzw. FR eine neue Tabelle anfordern!" sqref="D4"/>
    <dataValidation allowBlank="1" showInputMessage="1" showErrorMessage="1" promptTitle="Budget" prompt="AStA-Mitglieder meist CG, FaRa das Fachschaftsbudget._x000a_In wenigen Fällen kann jedoch auch eine Beantragung von StuPa-Mitteln erfolgen._x000a_&quot;Laut Haushalt&quot; sollte im Vorfeld mit FR/GS abgesprochen sein._x000a_Mehrere Budgets: bitte mehrere Dateien erstellen!" sqref="B18:D19"/>
    <dataValidation allowBlank="1" showInputMessage="1" showErrorMessage="1" promptTitle="Kostenstelle" prompt="Es muss eine Kostenstelle angegeben sein._x000a_Bitte Auswahl der Dropdownmenüs beachten!_x000a_(Diese ändern sich je nach Auswahl)" sqref="C16:D16"/>
    <dataValidation allowBlank="1" showInputMessage="1" showErrorMessage="1" promptTitle="Hinweise" prompt="Falls vorhanden bitte beachten" sqref="B21:E21"/>
  </dataValidations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D_ANTyp">
              <controlPr defaultSize="0" autoLine="0" autoPict="0">
                <anchor moveWithCells="1">
                  <from>
                    <xdr:col>2</xdr:col>
                    <xdr:colOff>600075</xdr:colOff>
                    <xdr:row>13</xdr:row>
                    <xdr:rowOff>19050</xdr:rowOff>
                  </from>
                  <to>
                    <xdr:col>3</xdr:col>
                    <xdr:colOff>752475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2</xdr:col>
                    <xdr:colOff>600075</xdr:colOff>
                    <xdr:row>12</xdr:row>
                    <xdr:rowOff>19050</xdr:rowOff>
                  </from>
                  <to>
                    <xdr:col>3</xdr:col>
                    <xdr:colOff>752475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2</xdr:col>
                    <xdr:colOff>600075</xdr:colOff>
                    <xdr:row>14</xdr:row>
                    <xdr:rowOff>19050</xdr:rowOff>
                  </from>
                  <to>
                    <xdr:col>3</xdr:col>
                    <xdr:colOff>752475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2</xdr:col>
                    <xdr:colOff>571500</xdr:colOff>
                    <xdr:row>18</xdr:row>
                    <xdr:rowOff>28575</xdr:rowOff>
                  </from>
                  <to>
                    <xdr:col>3</xdr:col>
                    <xdr:colOff>723900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Inv"/>
  <dimension ref="B1:M52"/>
  <sheetViews>
    <sheetView showGridLines="0" workbookViewId="0">
      <pane ySplit="2" topLeftCell="A3" activePane="bottomLeft" state="frozen"/>
      <selection pane="bottomLeft" activeCell="F3" sqref="F3"/>
    </sheetView>
  </sheetViews>
  <sheetFormatPr baseColWidth="10" defaultRowHeight="15" x14ac:dyDescent="0.25"/>
  <cols>
    <col min="1" max="1" width="3.28515625" customWidth="1"/>
    <col min="2" max="2" width="3" hidden="1" customWidth="1"/>
    <col min="3" max="3" width="5" hidden="1" customWidth="1"/>
    <col min="4" max="5" width="5.140625" hidden="1" customWidth="1"/>
    <col min="6" max="6" width="34" customWidth="1"/>
    <col min="7" max="7" width="27.5703125" customWidth="1"/>
    <col min="8" max="10" width="8.7109375" customWidth="1"/>
    <col min="11" max="11" width="83.140625" customWidth="1"/>
    <col min="12" max="12" width="8.42578125" customWidth="1"/>
  </cols>
  <sheetData>
    <row r="1" spans="2:13" ht="42" customHeight="1" x14ac:dyDescent="0.25">
      <c r="F1" s="143" t="str">
        <f ca="1">CONCATENATE("Anträge für KSt. ",Kostenstelle!B38," : ",Kostenstelle!B36," -  ",Kostenstelle!B35," (",Kostenstelle!B34,")")</f>
        <v>Anträge für KSt. 500 : Externer Antragsteller -  Allgemein (sonst./überg.)</v>
      </c>
      <c r="G1" s="143"/>
      <c r="H1" s="141" t="s">
        <v>150</v>
      </c>
      <c r="I1" s="141" t="s">
        <v>151</v>
      </c>
      <c r="J1" s="141" t="s">
        <v>153</v>
      </c>
      <c r="K1" s="144" t="s">
        <v>190</v>
      </c>
      <c r="L1" s="141" t="s">
        <v>161</v>
      </c>
    </row>
    <row r="2" spans="2:13" ht="64.5" customHeight="1" x14ac:dyDescent="0.25">
      <c r="B2" s="43" t="s">
        <v>172</v>
      </c>
      <c r="C2" s="43" t="s">
        <v>148</v>
      </c>
      <c r="D2" s="43" t="s">
        <v>155</v>
      </c>
      <c r="E2" s="43" t="s">
        <v>152</v>
      </c>
      <c r="F2" s="44" t="s">
        <v>194</v>
      </c>
      <c r="G2" s="44" t="s">
        <v>193</v>
      </c>
      <c r="H2" s="142"/>
      <c r="I2" s="142"/>
      <c r="J2" s="142"/>
      <c r="K2" s="145"/>
      <c r="L2" s="142"/>
    </row>
    <row r="3" spans="2:13" x14ac:dyDescent="0.25">
      <c r="B3" s="45">
        <f>IFERROR(VLOOKUP($G3,'Konto &amp; Allgemein'!$B$11:$F$19,5,FALSE),0)</f>
        <v>0</v>
      </c>
      <c r="C3" s="45">
        <f>IFERROR(VLOOKUP($G3,'Konto &amp; Allgemein'!$B$11:$E$19,2+$D3,FALSE),0)</f>
        <v>0</v>
      </c>
      <c r="D3" s="45">
        <f>IF(OR($I3&gt;='Konto &amp; Allgemein'!$D$8,$L3='Konto &amp; Allgemein'!$D$3),IF($I3&gt;='Konto &amp; Allgemein'!$E$8,2,1),0)</f>
        <v>0</v>
      </c>
      <c r="E3" s="45">
        <f>IFERROR(VLOOKUP($F3,Normalpreisliste!$A$2:$D$100,4,FALSE),0)</f>
        <v>0</v>
      </c>
      <c r="F3" s="48"/>
      <c r="G3" s="48"/>
      <c r="H3" s="49"/>
      <c r="I3" s="50"/>
      <c r="J3" s="46" t="str">
        <f>IF(OR($E3=0,$H3&lt;1),"-",INDEX(Normalpreisliste!$B$2:$B$101,$E3)*$H3/INDEX(Normalpreisliste!$C$2:$C$101,$E3))</f>
        <v>-</v>
      </c>
      <c r="K3" s="39"/>
      <c r="L3" s="39"/>
      <c r="M3" s="130" t="str">
        <f>IF(AND(COUNTA(F3,H3:I3,K3)&gt;0,OR(COUNTA(F3:I3,K3)&lt;5,I3=0)),IF(I3&gt;0,"Der Antrag ist unvollständig und kann so nicht korrekt verarbeitet werden! (Datenverlust!)","Zeile wird nicht importiert! (Text wird nicht gelesen!)"),"")</f>
        <v/>
      </c>
    </row>
    <row r="4" spans="2:13" x14ac:dyDescent="0.25">
      <c r="B4" s="45">
        <f>IFERROR(VLOOKUP($G4,'Konto &amp; Allgemein'!$B$11:$F$19,5,FALSE),0)</f>
        <v>0</v>
      </c>
      <c r="C4" s="45">
        <f>IFERROR(VLOOKUP($G4,'Konto &amp; Allgemein'!$B$11:$E$19,2+$D4,FALSE),0)</f>
        <v>0</v>
      </c>
      <c r="D4" s="45">
        <f>IF(OR($I4&gt;='Konto &amp; Allgemein'!$D$8,$L4='Konto &amp; Allgemein'!$D$3),IF($I4&gt;='Konto &amp; Allgemein'!$E$8,2,1),0)</f>
        <v>0</v>
      </c>
      <c r="E4" s="45">
        <f>IFERROR(VLOOKUP($F4,Normalpreisliste!$A$2:$D$100,4,FALSE),0)</f>
        <v>0</v>
      </c>
      <c r="F4" s="51"/>
      <c r="G4" s="51"/>
      <c r="H4" s="52"/>
      <c r="I4" s="53"/>
      <c r="J4" s="47" t="str">
        <f>IF(OR($E4=0,$H4&lt;1),"-",INDEX(Normalpreisliste!$B$2:$B$101,$E4)*$H4/INDEX(Normalpreisliste!$C$2:$C$101,$E4))</f>
        <v>-</v>
      </c>
      <c r="K4" s="40"/>
      <c r="L4" s="40"/>
      <c r="M4" s="130" t="str">
        <f t="shared" ref="M4:M52" si="0">IF(AND(COUNTA(F4,H4:I4,K4)&gt;0,OR(COUNTA(F4:I4,K4)&lt;5,I4=0)),IF(I4&gt;0,"Der Antrag ist unvollständig und kann so nicht korrekt verarbeitet werden! (Datenverlust!)","Zeile wird nicht importiert! (Text wird nicht gelesen!)"),"")</f>
        <v/>
      </c>
    </row>
    <row r="5" spans="2:13" x14ac:dyDescent="0.25">
      <c r="B5" s="45">
        <f>IFERROR(VLOOKUP($G5,'Konto &amp; Allgemein'!$B$11:$F$19,5,FALSE),0)</f>
        <v>0</v>
      </c>
      <c r="C5" s="45">
        <f>IFERROR(VLOOKUP($G5,'Konto &amp; Allgemein'!$B$11:$E$19,2+$D5,FALSE),0)</f>
        <v>0</v>
      </c>
      <c r="D5" s="45">
        <f>IF(OR($I5&gt;='Konto &amp; Allgemein'!$D$8,$L5='Konto &amp; Allgemein'!$D$3),IF($I5&gt;='Konto &amp; Allgemein'!$E$8,2,1),0)</f>
        <v>0</v>
      </c>
      <c r="E5" s="45">
        <f>IFERROR(VLOOKUP($F5,Normalpreisliste!$A$2:$D$100,4,FALSE),0)</f>
        <v>0</v>
      </c>
      <c r="F5" s="51"/>
      <c r="G5" s="51"/>
      <c r="H5" s="52"/>
      <c r="I5" s="53"/>
      <c r="J5" s="47" t="str">
        <f>IF(OR($E5=0,$H5&lt;1),"-",INDEX(Normalpreisliste!$B$2:$B$101,$E5)*$H5/INDEX(Normalpreisliste!$C$2:$C$101,$E5))</f>
        <v>-</v>
      </c>
      <c r="K5" s="40"/>
      <c r="L5" s="40"/>
      <c r="M5" s="130" t="str">
        <f t="shared" si="0"/>
        <v/>
      </c>
    </row>
    <row r="6" spans="2:13" x14ac:dyDescent="0.25">
      <c r="B6" s="45">
        <f>IFERROR(VLOOKUP($G6,'Konto &amp; Allgemein'!$B$11:$F$19,5,FALSE),0)</f>
        <v>0</v>
      </c>
      <c r="C6" s="45">
        <f>IFERROR(VLOOKUP($G6,'Konto &amp; Allgemein'!$B$11:$E$19,2+$D6,FALSE),0)</f>
        <v>0</v>
      </c>
      <c r="D6" s="45">
        <f>IF(OR($I6&gt;='Konto &amp; Allgemein'!$D$8,$L6='Konto &amp; Allgemein'!$D$3),IF($I6&gt;='Konto &amp; Allgemein'!$E$8,2,1),0)</f>
        <v>0</v>
      </c>
      <c r="E6" s="45">
        <f>IFERROR(VLOOKUP($F6,Normalpreisliste!$A$2:$D$100,4,FALSE),0)</f>
        <v>0</v>
      </c>
      <c r="F6" s="51"/>
      <c r="G6" s="51"/>
      <c r="H6" s="52"/>
      <c r="I6" s="53"/>
      <c r="J6" s="47" t="str">
        <f>IF(OR($E6=0,$H6&lt;1),"-",INDEX(Normalpreisliste!$B$2:$B$101,$E6)*$H6/INDEX(Normalpreisliste!$C$2:$C$101,$E6))</f>
        <v>-</v>
      </c>
      <c r="K6" s="40"/>
      <c r="L6" s="40"/>
      <c r="M6" s="130" t="str">
        <f t="shared" si="0"/>
        <v/>
      </c>
    </row>
    <row r="7" spans="2:13" x14ac:dyDescent="0.25">
      <c r="B7" s="45">
        <f>IFERROR(VLOOKUP($G7,'Konto &amp; Allgemein'!$B$11:$F$19,5,FALSE),0)</f>
        <v>0</v>
      </c>
      <c r="C7" s="45">
        <f>IFERROR(VLOOKUP($G7,'Konto &amp; Allgemein'!$B$11:$E$19,2+$D7,FALSE),0)</f>
        <v>0</v>
      </c>
      <c r="D7" s="45">
        <f>IF(OR($I7&gt;='Konto &amp; Allgemein'!$D$8,$L7='Konto &amp; Allgemein'!$D$3),IF($I7&gt;='Konto &amp; Allgemein'!$E$8,2,1),0)</f>
        <v>0</v>
      </c>
      <c r="E7" s="45">
        <f>IFERROR(VLOOKUP($F7,Normalpreisliste!$A$2:$D$100,4,FALSE),0)</f>
        <v>0</v>
      </c>
      <c r="F7" s="51"/>
      <c r="G7" s="51"/>
      <c r="H7" s="52"/>
      <c r="I7" s="53"/>
      <c r="J7" s="47" t="str">
        <f>IF(OR($E7=0,$H7&lt;1),"-",INDEX(Normalpreisliste!$B$2:$B$101,$E7)*$H7/INDEX(Normalpreisliste!$C$2:$C$101,$E7))</f>
        <v>-</v>
      </c>
      <c r="K7" s="40"/>
      <c r="L7" s="40"/>
      <c r="M7" s="130" t="str">
        <f t="shared" si="0"/>
        <v/>
      </c>
    </row>
    <row r="8" spans="2:13" x14ac:dyDescent="0.25">
      <c r="B8" s="45">
        <f>IFERROR(VLOOKUP($G8,'Konto &amp; Allgemein'!$B$11:$F$19,5,FALSE),0)</f>
        <v>0</v>
      </c>
      <c r="C8" s="45">
        <f>IFERROR(VLOOKUP($G8,'Konto &amp; Allgemein'!$B$11:$E$19,2+$D8,FALSE),0)</f>
        <v>0</v>
      </c>
      <c r="D8" s="45">
        <f>IF(OR($I8&gt;='Konto &amp; Allgemein'!$D$8,$L8='Konto &amp; Allgemein'!$D$3),IF($I8&gt;='Konto &amp; Allgemein'!$E$8,2,1),0)</f>
        <v>0</v>
      </c>
      <c r="E8" s="45">
        <f>IFERROR(VLOOKUP($F8,Normalpreisliste!$A$2:$D$100,4,FALSE),0)</f>
        <v>0</v>
      </c>
      <c r="F8" s="51"/>
      <c r="G8" s="51"/>
      <c r="H8" s="52"/>
      <c r="I8" s="53"/>
      <c r="J8" s="47" t="str">
        <f>IF(OR($E8=0,$H8&lt;1),"-",INDEX(Normalpreisliste!$B$2:$B$101,$E8)*$H8/INDEX(Normalpreisliste!$C$2:$C$101,$E8))</f>
        <v>-</v>
      </c>
      <c r="K8" s="40"/>
      <c r="L8" s="40"/>
      <c r="M8" s="130" t="str">
        <f t="shared" si="0"/>
        <v/>
      </c>
    </row>
    <row r="9" spans="2:13" x14ac:dyDescent="0.25">
      <c r="B9" s="45">
        <f>IFERROR(VLOOKUP($G9,'Konto &amp; Allgemein'!$B$11:$F$19,5,FALSE),0)</f>
        <v>0</v>
      </c>
      <c r="C9" s="45">
        <f>IFERROR(VLOOKUP($G9,'Konto &amp; Allgemein'!$B$11:$E$19,2+$D9,FALSE),0)</f>
        <v>0</v>
      </c>
      <c r="D9" s="45">
        <f>IF(OR($I9&gt;='Konto &amp; Allgemein'!$D$8,$L9='Konto &amp; Allgemein'!$D$3),IF($I9&gt;='Konto &amp; Allgemein'!$E$8,2,1),0)</f>
        <v>0</v>
      </c>
      <c r="E9" s="45">
        <f>IFERROR(VLOOKUP($F9,Normalpreisliste!$A$2:$D$100,4,FALSE),0)</f>
        <v>0</v>
      </c>
      <c r="F9" s="51"/>
      <c r="G9" s="51"/>
      <c r="H9" s="52"/>
      <c r="I9" s="53"/>
      <c r="J9" s="47" t="str">
        <f>IF(OR($E9=0,$H9&lt;1),"-",INDEX(Normalpreisliste!$B$2:$B$101,$E9)*$H9/INDEX(Normalpreisliste!$C$2:$C$101,$E9))</f>
        <v>-</v>
      </c>
      <c r="K9" s="40"/>
      <c r="L9" s="40"/>
      <c r="M9" s="130" t="str">
        <f t="shared" si="0"/>
        <v/>
      </c>
    </row>
    <row r="10" spans="2:13" x14ac:dyDescent="0.25">
      <c r="B10" s="45">
        <f>IFERROR(VLOOKUP($G10,'Konto &amp; Allgemein'!$B$11:$F$19,5,FALSE),0)</f>
        <v>0</v>
      </c>
      <c r="C10" s="45">
        <f>IFERROR(VLOOKUP($G10,'Konto &amp; Allgemein'!$B$11:$E$19,2+$D10,FALSE),0)</f>
        <v>0</v>
      </c>
      <c r="D10" s="45">
        <f>IF(OR($I10&gt;='Konto &amp; Allgemein'!$D$8,$L10='Konto &amp; Allgemein'!$D$3),IF($I10&gt;='Konto &amp; Allgemein'!$E$8,2,1),0)</f>
        <v>0</v>
      </c>
      <c r="E10" s="45">
        <f>IFERROR(VLOOKUP($F10,Normalpreisliste!$A$2:$D$100,4,FALSE),0)</f>
        <v>0</v>
      </c>
      <c r="F10" s="51"/>
      <c r="G10" s="51"/>
      <c r="H10" s="52"/>
      <c r="I10" s="53"/>
      <c r="J10" s="47" t="str">
        <f>IF(OR($E10=0,$H10&lt;1),"-",INDEX(Normalpreisliste!$B$2:$B$101,$E10)*$H10/INDEX(Normalpreisliste!$C$2:$C$101,$E10))</f>
        <v>-</v>
      </c>
      <c r="K10" s="40"/>
      <c r="L10" s="40"/>
      <c r="M10" s="130" t="str">
        <f t="shared" si="0"/>
        <v/>
      </c>
    </row>
    <row r="11" spans="2:13" x14ac:dyDescent="0.25">
      <c r="B11" s="45">
        <f>IFERROR(VLOOKUP($G11,'Konto &amp; Allgemein'!$B$11:$F$19,5,FALSE),0)</f>
        <v>0</v>
      </c>
      <c r="C11" s="45">
        <f>IFERROR(VLOOKUP($G11,'Konto &amp; Allgemein'!$B$11:$E$19,2+$D11,FALSE),0)</f>
        <v>0</v>
      </c>
      <c r="D11" s="45">
        <f>IF(OR($I11&gt;='Konto &amp; Allgemein'!$D$8,$L11='Konto &amp; Allgemein'!$D$3),IF($I11&gt;='Konto &amp; Allgemein'!$E$8,2,1),0)</f>
        <v>0</v>
      </c>
      <c r="E11" s="45">
        <f>IFERROR(VLOOKUP($F11,Normalpreisliste!$A$2:$D$100,4,FALSE),0)</f>
        <v>0</v>
      </c>
      <c r="F11" s="51"/>
      <c r="G11" s="51"/>
      <c r="H11" s="52"/>
      <c r="I11" s="53"/>
      <c r="J11" s="47" t="str">
        <f>IF(OR($E11=0,$H11&lt;1),"-",INDEX(Normalpreisliste!$B$2:$B$101,$E11)*$H11/INDEX(Normalpreisliste!$C$2:$C$101,$E11))</f>
        <v>-</v>
      </c>
      <c r="K11" s="40"/>
      <c r="L11" s="40"/>
      <c r="M11" s="130" t="str">
        <f t="shared" si="0"/>
        <v/>
      </c>
    </row>
    <row r="12" spans="2:13" x14ac:dyDescent="0.25">
      <c r="B12" s="45">
        <f>IFERROR(VLOOKUP($G12,'Konto &amp; Allgemein'!$B$11:$F$19,5,FALSE),0)</f>
        <v>0</v>
      </c>
      <c r="C12" s="45">
        <f>IFERROR(VLOOKUP($G12,'Konto &amp; Allgemein'!$B$11:$E$19,2+$D12,FALSE),0)</f>
        <v>0</v>
      </c>
      <c r="D12" s="45">
        <f>IF(OR($I12&gt;='Konto &amp; Allgemein'!$D$8,$L12='Konto &amp; Allgemein'!$D$3),IF($I12&gt;='Konto &amp; Allgemein'!$E$8,2,1),0)</f>
        <v>0</v>
      </c>
      <c r="E12" s="45">
        <f>IFERROR(VLOOKUP($F12,Normalpreisliste!$A$2:$D$100,4,FALSE),0)</f>
        <v>0</v>
      </c>
      <c r="F12" s="51"/>
      <c r="G12" s="51"/>
      <c r="H12" s="52"/>
      <c r="I12" s="53"/>
      <c r="J12" s="47" t="str">
        <f>IF(OR($E12=0,$H12&lt;1),"-",INDEX(Normalpreisliste!$B$2:$B$101,$E12)*$H12/INDEX(Normalpreisliste!$C$2:$C$101,$E12))</f>
        <v>-</v>
      </c>
      <c r="K12" s="40"/>
      <c r="L12" s="40"/>
      <c r="M12" s="130" t="str">
        <f t="shared" si="0"/>
        <v/>
      </c>
    </row>
    <row r="13" spans="2:13" x14ac:dyDescent="0.25">
      <c r="B13" s="45">
        <f>IFERROR(VLOOKUP($G13,'Konto &amp; Allgemein'!$B$11:$F$19,5,FALSE),0)</f>
        <v>0</v>
      </c>
      <c r="C13" s="45">
        <f>IFERROR(VLOOKUP($G13,'Konto &amp; Allgemein'!$B$11:$E$19,2+$D13,FALSE),0)</f>
        <v>0</v>
      </c>
      <c r="D13" s="45">
        <f>IF(OR($I13&gt;='Konto &amp; Allgemein'!$D$8,$L13='Konto &amp; Allgemein'!$D$3),IF($I13&gt;='Konto &amp; Allgemein'!$E$8,2,1),0)</f>
        <v>0</v>
      </c>
      <c r="E13" s="45">
        <f>IFERROR(VLOOKUP($F13,Normalpreisliste!$A$2:$D$100,4,FALSE),0)</f>
        <v>0</v>
      </c>
      <c r="F13" s="51"/>
      <c r="G13" s="51"/>
      <c r="H13" s="52"/>
      <c r="I13" s="53"/>
      <c r="J13" s="47" t="str">
        <f>IF(OR($E13=0,$H13&lt;1),"-",INDEX(Normalpreisliste!$B$2:$B$101,$E13)*$H13/INDEX(Normalpreisliste!$C$2:$C$101,$E13))</f>
        <v>-</v>
      </c>
      <c r="K13" s="40"/>
      <c r="L13" s="40"/>
      <c r="M13" s="130" t="str">
        <f t="shared" si="0"/>
        <v/>
      </c>
    </row>
    <row r="14" spans="2:13" x14ac:dyDescent="0.25">
      <c r="B14" s="45">
        <f>IFERROR(VLOOKUP($G14,'Konto &amp; Allgemein'!$B$11:$F$19,5,FALSE),0)</f>
        <v>0</v>
      </c>
      <c r="C14" s="45">
        <f>IFERROR(VLOOKUP($G14,'Konto &amp; Allgemein'!$B$11:$E$19,2+$D14,FALSE),0)</f>
        <v>0</v>
      </c>
      <c r="D14" s="45">
        <f>IF(OR($I14&gt;='Konto &amp; Allgemein'!$D$8,$L14='Konto &amp; Allgemein'!$D$3),IF($I14&gt;='Konto &amp; Allgemein'!$E$8,2,1),0)</f>
        <v>0</v>
      </c>
      <c r="E14" s="45">
        <f>IFERROR(VLOOKUP($F14,Normalpreisliste!$A$2:$D$100,4,FALSE),0)</f>
        <v>0</v>
      </c>
      <c r="F14" s="51"/>
      <c r="G14" s="51"/>
      <c r="H14" s="52"/>
      <c r="I14" s="53"/>
      <c r="J14" s="47" t="str">
        <f>IF(OR($E14=0,$H14&lt;1),"-",INDEX(Normalpreisliste!$B$2:$B$101,$E14)*$H14/INDEX(Normalpreisliste!$C$2:$C$101,$E14))</f>
        <v>-</v>
      </c>
      <c r="K14" s="40"/>
      <c r="L14" s="40"/>
      <c r="M14" s="130" t="str">
        <f t="shared" si="0"/>
        <v/>
      </c>
    </row>
    <row r="15" spans="2:13" x14ac:dyDescent="0.25">
      <c r="B15" s="45">
        <f>IFERROR(VLOOKUP($G15,'Konto &amp; Allgemein'!$B$11:$F$19,5,FALSE),0)</f>
        <v>0</v>
      </c>
      <c r="C15" s="45">
        <f>IFERROR(VLOOKUP($G15,'Konto &amp; Allgemein'!$B$11:$E$19,2+$D15,FALSE),0)</f>
        <v>0</v>
      </c>
      <c r="D15" s="45">
        <f>IF(OR($I15&gt;='Konto &amp; Allgemein'!$D$8,$L15='Konto &amp; Allgemein'!$D$3),IF($I15&gt;='Konto &amp; Allgemein'!$E$8,2,1),0)</f>
        <v>0</v>
      </c>
      <c r="E15" s="45">
        <f>IFERROR(VLOOKUP($F15,Normalpreisliste!$A$2:$D$100,4,FALSE),0)</f>
        <v>0</v>
      </c>
      <c r="F15" s="51"/>
      <c r="G15" s="51"/>
      <c r="H15" s="52"/>
      <c r="I15" s="53"/>
      <c r="J15" s="47" t="str">
        <f>IF(OR($E15=0,$H15&lt;1),"-",INDEX(Normalpreisliste!$B$2:$B$101,$E15)*$H15/INDEX(Normalpreisliste!$C$2:$C$101,$E15))</f>
        <v>-</v>
      </c>
      <c r="K15" s="40"/>
      <c r="L15" s="40"/>
      <c r="M15" s="130" t="str">
        <f t="shared" si="0"/>
        <v/>
      </c>
    </row>
    <row r="16" spans="2:13" x14ac:dyDescent="0.25">
      <c r="B16" s="45">
        <f>IFERROR(VLOOKUP($G16,'Konto &amp; Allgemein'!$B$11:$F$19,5,FALSE),0)</f>
        <v>0</v>
      </c>
      <c r="C16" s="45">
        <f>IFERROR(VLOOKUP($G16,'Konto &amp; Allgemein'!$B$11:$E$19,2+$D16,FALSE),0)</f>
        <v>0</v>
      </c>
      <c r="D16" s="45">
        <f>IF(OR($I16&gt;='Konto &amp; Allgemein'!$D$8,$L16='Konto &amp; Allgemein'!$D$3),IF($I16&gt;='Konto &amp; Allgemein'!$E$8,2,1),0)</f>
        <v>0</v>
      </c>
      <c r="E16" s="45">
        <f>IFERROR(VLOOKUP($F16,Normalpreisliste!$A$2:$D$100,4,FALSE),0)</f>
        <v>0</v>
      </c>
      <c r="F16" s="51"/>
      <c r="G16" s="51"/>
      <c r="H16" s="52"/>
      <c r="I16" s="53"/>
      <c r="J16" s="47" t="str">
        <f>IF(OR($E16=0,$H16&lt;1),"-",INDEX(Normalpreisliste!$B$2:$B$101,$E16)*$H16/INDEX(Normalpreisliste!$C$2:$C$101,$E16))</f>
        <v>-</v>
      </c>
      <c r="K16" s="40"/>
      <c r="L16" s="40"/>
      <c r="M16" s="130" t="str">
        <f t="shared" si="0"/>
        <v/>
      </c>
    </row>
    <row r="17" spans="2:13" x14ac:dyDescent="0.25">
      <c r="B17" s="45">
        <f>IFERROR(VLOOKUP($G17,'Konto &amp; Allgemein'!$B$11:$F$19,5,FALSE),0)</f>
        <v>0</v>
      </c>
      <c r="C17" s="45">
        <f>IFERROR(VLOOKUP($G17,'Konto &amp; Allgemein'!$B$11:$E$19,2+$D17,FALSE),0)</f>
        <v>0</v>
      </c>
      <c r="D17" s="45">
        <f>IF(OR($I17&gt;='Konto &amp; Allgemein'!$D$8,$L17='Konto &amp; Allgemein'!$D$3),IF($I17&gt;='Konto &amp; Allgemein'!$E$8,2,1),0)</f>
        <v>0</v>
      </c>
      <c r="E17" s="45">
        <f>IFERROR(VLOOKUP($F17,Normalpreisliste!$A$2:$D$100,4,FALSE),0)</f>
        <v>0</v>
      </c>
      <c r="F17" s="51"/>
      <c r="G17" s="51"/>
      <c r="H17" s="52"/>
      <c r="I17" s="53"/>
      <c r="J17" s="47" t="str">
        <f>IF(OR($E17=0,$H17&lt;1),"-",INDEX(Normalpreisliste!$B$2:$B$101,$E17)*$H17/INDEX(Normalpreisliste!$C$2:$C$101,$E17))</f>
        <v>-</v>
      </c>
      <c r="K17" s="40"/>
      <c r="L17" s="40"/>
      <c r="M17" s="130" t="str">
        <f t="shared" si="0"/>
        <v/>
      </c>
    </row>
    <row r="18" spans="2:13" x14ac:dyDescent="0.25">
      <c r="B18" s="45">
        <f>IFERROR(VLOOKUP($G18,'Konto &amp; Allgemein'!$B$11:$F$19,5,FALSE),0)</f>
        <v>0</v>
      </c>
      <c r="C18" s="45">
        <f>IFERROR(VLOOKUP($G18,'Konto &amp; Allgemein'!$B$11:$E$19,2+$D18,FALSE),0)</f>
        <v>0</v>
      </c>
      <c r="D18" s="45">
        <f>IF(OR($I18&gt;='Konto &amp; Allgemein'!$D$8,$L18='Konto &amp; Allgemein'!$D$3),IF($I18&gt;='Konto &amp; Allgemein'!$E$8,2,1),0)</f>
        <v>0</v>
      </c>
      <c r="E18" s="45">
        <f>IFERROR(VLOOKUP($F18,Normalpreisliste!$A$2:$D$100,4,FALSE),0)</f>
        <v>0</v>
      </c>
      <c r="F18" s="51"/>
      <c r="G18" s="51"/>
      <c r="H18" s="52"/>
      <c r="I18" s="53"/>
      <c r="J18" s="47" t="str">
        <f>IF(OR($E18=0,$H18&lt;1),"-",INDEX(Normalpreisliste!$B$2:$B$101,$E18)*$H18/INDEX(Normalpreisliste!$C$2:$C$101,$E18))</f>
        <v>-</v>
      </c>
      <c r="K18" s="40"/>
      <c r="L18" s="40"/>
      <c r="M18" s="130" t="str">
        <f t="shared" si="0"/>
        <v/>
      </c>
    </row>
    <row r="19" spans="2:13" x14ac:dyDescent="0.25">
      <c r="B19" s="45">
        <f>IFERROR(VLOOKUP($G19,'Konto &amp; Allgemein'!$B$11:$F$19,5,FALSE),0)</f>
        <v>0</v>
      </c>
      <c r="C19" s="45">
        <f>IFERROR(VLOOKUP($G19,'Konto &amp; Allgemein'!$B$11:$E$19,2+$D19,FALSE),0)</f>
        <v>0</v>
      </c>
      <c r="D19" s="45">
        <f>IF(OR($I19&gt;='Konto &amp; Allgemein'!$D$8,$L19='Konto &amp; Allgemein'!$D$3),IF($I19&gt;='Konto &amp; Allgemein'!$E$8,2,1),0)</f>
        <v>0</v>
      </c>
      <c r="E19" s="45">
        <f>IFERROR(VLOOKUP($F19,Normalpreisliste!$A$2:$D$100,4,FALSE),0)</f>
        <v>0</v>
      </c>
      <c r="F19" s="51"/>
      <c r="G19" s="51"/>
      <c r="H19" s="52"/>
      <c r="I19" s="53"/>
      <c r="J19" s="47" t="str">
        <f>IF(OR($E19=0,$H19&lt;1),"-",INDEX(Normalpreisliste!$B$2:$B$101,$E19)*$H19/INDEX(Normalpreisliste!$C$2:$C$101,$E19))</f>
        <v>-</v>
      </c>
      <c r="K19" s="40"/>
      <c r="L19" s="40"/>
      <c r="M19" s="130" t="str">
        <f t="shared" si="0"/>
        <v/>
      </c>
    </row>
    <row r="20" spans="2:13" x14ac:dyDescent="0.25">
      <c r="B20" s="45">
        <f>IFERROR(VLOOKUP($G20,'Konto &amp; Allgemein'!$B$11:$F$19,5,FALSE),0)</f>
        <v>0</v>
      </c>
      <c r="C20" s="45">
        <f>IFERROR(VLOOKUP($G20,'Konto &amp; Allgemein'!$B$11:$E$19,2+$D20,FALSE),0)</f>
        <v>0</v>
      </c>
      <c r="D20" s="45">
        <f>IF(OR($I20&gt;='Konto &amp; Allgemein'!$D$8,$L20='Konto &amp; Allgemein'!$D$3),IF($I20&gt;='Konto &amp; Allgemein'!$E$8,2,1),0)</f>
        <v>0</v>
      </c>
      <c r="E20" s="45">
        <f>IFERROR(VLOOKUP($F20,Normalpreisliste!$A$2:$D$100,4,FALSE),0)</f>
        <v>0</v>
      </c>
      <c r="F20" s="51"/>
      <c r="G20" s="51"/>
      <c r="H20" s="52"/>
      <c r="I20" s="53"/>
      <c r="J20" s="47" t="str">
        <f>IF(OR($E20=0,$H20&lt;1),"-",INDEX(Normalpreisliste!$B$2:$B$101,$E20)*$H20/INDEX(Normalpreisliste!$C$2:$C$101,$E20))</f>
        <v>-</v>
      </c>
      <c r="K20" s="40"/>
      <c r="L20" s="40"/>
      <c r="M20" s="130" t="str">
        <f t="shared" si="0"/>
        <v/>
      </c>
    </row>
    <row r="21" spans="2:13" x14ac:dyDescent="0.25">
      <c r="B21" s="45">
        <f>IFERROR(VLOOKUP($G21,'Konto &amp; Allgemein'!$B$11:$F$19,5,FALSE),0)</f>
        <v>0</v>
      </c>
      <c r="C21" s="45">
        <f>IFERROR(VLOOKUP($G21,'Konto &amp; Allgemein'!$B$11:$E$19,2+$D21,FALSE),0)</f>
        <v>0</v>
      </c>
      <c r="D21" s="45">
        <f>IF(OR($I21&gt;='Konto &amp; Allgemein'!$D$8,$L21='Konto &amp; Allgemein'!$D$3),IF($I21&gt;='Konto &amp; Allgemein'!$E$8,2,1),0)</f>
        <v>0</v>
      </c>
      <c r="E21" s="45">
        <f>IFERROR(VLOOKUP($F21,Normalpreisliste!$A$2:$D$100,4,FALSE),0)</f>
        <v>0</v>
      </c>
      <c r="F21" s="51"/>
      <c r="G21" s="51"/>
      <c r="H21" s="52"/>
      <c r="I21" s="53"/>
      <c r="J21" s="47" t="str">
        <f>IF(OR($E21=0,$H21&lt;1),"-",INDEX(Normalpreisliste!$B$2:$B$101,$E21)*$H21/INDEX(Normalpreisliste!$C$2:$C$101,$E21))</f>
        <v>-</v>
      </c>
      <c r="K21" s="40"/>
      <c r="L21" s="40"/>
      <c r="M21" s="130" t="str">
        <f t="shared" si="0"/>
        <v/>
      </c>
    </row>
    <row r="22" spans="2:13" x14ac:dyDescent="0.25">
      <c r="B22" s="45">
        <f>IFERROR(VLOOKUP($G22,'Konto &amp; Allgemein'!$B$11:$F$19,5,FALSE),0)</f>
        <v>0</v>
      </c>
      <c r="C22" s="45">
        <f>IFERROR(VLOOKUP($G22,'Konto &amp; Allgemein'!$B$11:$E$19,2+$D22,FALSE),0)</f>
        <v>0</v>
      </c>
      <c r="D22" s="45">
        <f>IF(OR($I22&gt;='Konto &amp; Allgemein'!$D$8,$L22='Konto &amp; Allgemein'!$D$3),IF($I22&gt;='Konto &amp; Allgemein'!$E$8,2,1),0)</f>
        <v>0</v>
      </c>
      <c r="E22" s="45">
        <f>IFERROR(VLOOKUP($F22,Normalpreisliste!$A$2:$D$100,4,FALSE),0)</f>
        <v>0</v>
      </c>
      <c r="F22" s="51"/>
      <c r="G22" s="51"/>
      <c r="H22" s="52"/>
      <c r="I22" s="53"/>
      <c r="J22" s="47" t="str">
        <f>IF(OR($E22=0,$H22&lt;1),"-",INDEX(Normalpreisliste!$B$2:$B$101,$E22)*$H22/INDEX(Normalpreisliste!$C$2:$C$101,$E22))</f>
        <v>-</v>
      </c>
      <c r="K22" s="40"/>
      <c r="L22" s="40"/>
      <c r="M22" s="130" t="str">
        <f t="shared" si="0"/>
        <v/>
      </c>
    </row>
    <row r="23" spans="2:13" x14ac:dyDescent="0.25">
      <c r="B23" s="45">
        <f>IFERROR(VLOOKUP($G23,'Konto &amp; Allgemein'!$B$11:$F$19,5,FALSE),0)</f>
        <v>0</v>
      </c>
      <c r="C23" s="45">
        <f>IFERROR(VLOOKUP($G23,'Konto &amp; Allgemein'!$B$11:$E$19,2+$D23,FALSE),0)</f>
        <v>0</v>
      </c>
      <c r="D23" s="45">
        <f>IF(OR($I23&gt;='Konto &amp; Allgemein'!$D$8,$L23='Konto &amp; Allgemein'!$D$3),IF($I23&gt;='Konto &amp; Allgemein'!$E$8,2,1),0)</f>
        <v>0</v>
      </c>
      <c r="E23" s="45">
        <f>IFERROR(VLOOKUP($F23,Normalpreisliste!$A$2:$D$100,4,FALSE),0)</f>
        <v>0</v>
      </c>
      <c r="F23" s="51"/>
      <c r="G23" s="51"/>
      <c r="H23" s="52"/>
      <c r="I23" s="53"/>
      <c r="J23" s="47" t="str">
        <f>IF(OR($E23=0,$H23&lt;1),"-",INDEX(Normalpreisliste!$B$2:$B$101,$E23)*$H23/INDEX(Normalpreisliste!$C$2:$C$101,$E23))</f>
        <v>-</v>
      </c>
      <c r="K23" s="40"/>
      <c r="L23" s="40"/>
      <c r="M23" s="130" t="str">
        <f t="shared" si="0"/>
        <v/>
      </c>
    </row>
    <row r="24" spans="2:13" x14ac:dyDescent="0.25">
      <c r="B24" s="45">
        <f>IFERROR(VLOOKUP($G24,'Konto &amp; Allgemein'!$B$11:$F$19,5,FALSE),0)</f>
        <v>0</v>
      </c>
      <c r="C24" s="45">
        <f>IFERROR(VLOOKUP($G24,'Konto &amp; Allgemein'!$B$11:$E$19,2+$D24,FALSE),0)</f>
        <v>0</v>
      </c>
      <c r="D24" s="45">
        <f>IF(OR($I24&gt;='Konto &amp; Allgemein'!$D$8,$L24='Konto &amp; Allgemein'!$D$3),IF($I24&gt;='Konto &amp; Allgemein'!$E$8,2,1),0)</f>
        <v>0</v>
      </c>
      <c r="E24" s="45">
        <f>IFERROR(VLOOKUP($F24,Normalpreisliste!$A$2:$D$100,4,FALSE),0)</f>
        <v>0</v>
      </c>
      <c r="F24" s="51"/>
      <c r="G24" s="51"/>
      <c r="H24" s="52"/>
      <c r="I24" s="53"/>
      <c r="J24" s="47" t="str">
        <f>IF(OR($E24=0,$H24&lt;1),"-",INDEX(Normalpreisliste!$B$2:$B$101,$E24)*$H24/INDEX(Normalpreisliste!$C$2:$C$101,$E24))</f>
        <v>-</v>
      </c>
      <c r="K24" s="40"/>
      <c r="L24" s="40"/>
      <c r="M24" s="130" t="str">
        <f t="shared" si="0"/>
        <v/>
      </c>
    </row>
    <row r="25" spans="2:13" x14ac:dyDescent="0.25">
      <c r="B25" s="45">
        <f>IFERROR(VLOOKUP($G25,'Konto &amp; Allgemein'!$B$11:$F$19,5,FALSE),0)</f>
        <v>0</v>
      </c>
      <c r="C25" s="45">
        <f>IFERROR(VLOOKUP($G25,'Konto &amp; Allgemein'!$B$11:$E$19,2+$D25,FALSE),0)</f>
        <v>0</v>
      </c>
      <c r="D25" s="45">
        <f>IF(OR($I25&gt;='Konto &amp; Allgemein'!$D$8,$L25='Konto &amp; Allgemein'!$D$3),IF($I25&gt;='Konto &amp; Allgemein'!$E$8,2,1),0)</f>
        <v>0</v>
      </c>
      <c r="E25" s="45">
        <f>IFERROR(VLOOKUP($F25,Normalpreisliste!$A$2:$D$100,4,FALSE),0)</f>
        <v>0</v>
      </c>
      <c r="F25" s="51"/>
      <c r="G25" s="51"/>
      <c r="H25" s="52"/>
      <c r="I25" s="53"/>
      <c r="J25" s="47" t="str">
        <f>IF(OR($E25=0,$H25&lt;1),"-",INDEX(Normalpreisliste!$B$2:$B$101,$E25)*$H25/INDEX(Normalpreisliste!$C$2:$C$101,$E25))</f>
        <v>-</v>
      </c>
      <c r="K25" s="40"/>
      <c r="L25" s="40"/>
      <c r="M25" s="130" t="str">
        <f t="shared" si="0"/>
        <v/>
      </c>
    </row>
    <row r="26" spans="2:13" x14ac:dyDescent="0.25">
      <c r="B26" s="45">
        <f>IFERROR(VLOOKUP($G26,'Konto &amp; Allgemein'!$B$11:$F$19,5,FALSE),0)</f>
        <v>0</v>
      </c>
      <c r="C26" s="45">
        <f>IFERROR(VLOOKUP($G26,'Konto &amp; Allgemein'!$B$11:$E$19,2+$D26,FALSE),0)</f>
        <v>0</v>
      </c>
      <c r="D26" s="45">
        <f>IF(OR($I26&gt;='Konto &amp; Allgemein'!$D$8,$L26='Konto &amp; Allgemein'!$D$3),IF($I26&gt;='Konto &amp; Allgemein'!$E$8,2,1),0)</f>
        <v>0</v>
      </c>
      <c r="E26" s="45">
        <f>IFERROR(VLOOKUP($F26,Normalpreisliste!$A$2:$D$100,4,FALSE),0)</f>
        <v>0</v>
      </c>
      <c r="F26" s="51"/>
      <c r="G26" s="51"/>
      <c r="H26" s="52"/>
      <c r="I26" s="53"/>
      <c r="J26" s="47" t="str">
        <f>IF(OR($E26=0,$H26&lt;1),"-",INDEX(Normalpreisliste!$B$2:$B$101,$E26)*$H26/INDEX(Normalpreisliste!$C$2:$C$101,$E26))</f>
        <v>-</v>
      </c>
      <c r="K26" s="40"/>
      <c r="L26" s="40"/>
      <c r="M26" s="130" t="str">
        <f t="shared" si="0"/>
        <v/>
      </c>
    </row>
    <row r="27" spans="2:13" x14ac:dyDescent="0.25">
      <c r="B27" s="45">
        <f>IFERROR(VLOOKUP($G27,'Konto &amp; Allgemein'!$B$11:$F$19,5,FALSE),0)</f>
        <v>0</v>
      </c>
      <c r="C27" s="45">
        <f>IFERROR(VLOOKUP($G27,'Konto &amp; Allgemein'!$B$11:$E$19,2+$D27,FALSE),0)</f>
        <v>0</v>
      </c>
      <c r="D27" s="45">
        <f>IF(OR($I27&gt;='Konto &amp; Allgemein'!$D$8,$L27='Konto &amp; Allgemein'!$D$3),IF($I27&gt;='Konto &amp; Allgemein'!$E$8,2,1),0)</f>
        <v>0</v>
      </c>
      <c r="E27" s="45">
        <f>IFERROR(VLOOKUP($F27,Normalpreisliste!$A$2:$D$100,4,FALSE),0)</f>
        <v>0</v>
      </c>
      <c r="F27" s="51"/>
      <c r="G27" s="51"/>
      <c r="H27" s="52"/>
      <c r="I27" s="53"/>
      <c r="J27" s="47" t="str">
        <f>IF(OR($E27=0,$H27&lt;1),"-",INDEX(Normalpreisliste!$B$2:$B$101,$E27)*$H27/INDEX(Normalpreisliste!$C$2:$C$101,$E27))</f>
        <v>-</v>
      </c>
      <c r="K27" s="40"/>
      <c r="L27" s="40"/>
      <c r="M27" s="130" t="str">
        <f t="shared" si="0"/>
        <v/>
      </c>
    </row>
    <row r="28" spans="2:13" x14ac:dyDescent="0.25">
      <c r="B28" s="45">
        <f>IFERROR(VLOOKUP($G28,'Konto &amp; Allgemein'!$B$11:$F$19,5,FALSE),0)</f>
        <v>0</v>
      </c>
      <c r="C28" s="45">
        <f>IFERROR(VLOOKUP($G28,'Konto &amp; Allgemein'!$B$11:$E$19,2+$D28,FALSE),0)</f>
        <v>0</v>
      </c>
      <c r="D28" s="45">
        <f>IF(OR($I28&gt;='Konto &amp; Allgemein'!$D$8,$L28='Konto &amp; Allgemein'!$D$3),IF($I28&gt;='Konto &amp; Allgemein'!$E$8,2,1),0)</f>
        <v>0</v>
      </c>
      <c r="E28" s="45">
        <f>IFERROR(VLOOKUP($F28,Normalpreisliste!$A$2:$D$100,4,FALSE),0)</f>
        <v>0</v>
      </c>
      <c r="F28" s="51"/>
      <c r="G28" s="51"/>
      <c r="H28" s="52"/>
      <c r="I28" s="53"/>
      <c r="J28" s="47" t="str">
        <f>IF(OR($E28=0,$H28&lt;1),"-",INDEX(Normalpreisliste!$B$2:$B$101,$E28)*$H28/INDEX(Normalpreisliste!$C$2:$C$101,$E28))</f>
        <v>-</v>
      </c>
      <c r="K28" s="40"/>
      <c r="L28" s="40"/>
      <c r="M28" s="130" t="str">
        <f t="shared" si="0"/>
        <v/>
      </c>
    </row>
    <row r="29" spans="2:13" x14ac:dyDescent="0.25">
      <c r="B29" s="45">
        <f>IFERROR(VLOOKUP($G29,'Konto &amp; Allgemein'!$B$11:$F$19,5,FALSE),0)</f>
        <v>0</v>
      </c>
      <c r="C29" s="45">
        <f>IFERROR(VLOOKUP($G29,'Konto &amp; Allgemein'!$B$11:$E$19,2+$D29,FALSE),0)</f>
        <v>0</v>
      </c>
      <c r="D29" s="45">
        <f>IF(OR($I29&gt;='Konto &amp; Allgemein'!$D$8,$L29='Konto &amp; Allgemein'!$D$3),IF($I29&gt;='Konto &amp; Allgemein'!$E$8,2,1),0)</f>
        <v>0</v>
      </c>
      <c r="E29" s="45">
        <f>IFERROR(VLOOKUP($F29,Normalpreisliste!$A$2:$D$100,4,FALSE),0)</f>
        <v>0</v>
      </c>
      <c r="F29" s="51"/>
      <c r="G29" s="51"/>
      <c r="H29" s="52"/>
      <c r="I29" s="53"/>
      <c r="J29" s="47" t="str">
        <f>IF(OR($E29=0,$H29&lt;1),"-",INDEX(Normalpreisliste!$B$2:$B$101,$E29)*$H29/INDEX(Normalpreisliste!$C$2:$C$101,$E29))</f>
        <v>-</v>
      </c>
      <c r="K29" s="40"/>
      <c r="L29" s="40"/>
      <c r="M29" s="130" t="str">
        <f t="shared" si="0"/>
        <v/>
      </c>
    </row>
    <row r="30" spans="2:13" x14ac:dyDescent="0.25">
      <c r="B30" s="45">
        <f>IFERROR(VLOOKUP($G30,'Konto &amp; Allgemein'!$B$11:$F$19,5,FALSE),0)</f>
        <v>0</v>
      </c>
      <c r="C30" s="45">
        <f>IFERROR(VLOOKUP($G30,'Konto &amp; Allgemein'!$B$11:$E$19,2+$D30,FALSE),0)</f>
        <v>0</v>
      </c>
      <c r="D30" s="45">
        <f>IF(OR($I30&gt;='Konto &amp; Allgemein'!$D$8,$L30='Konto &amp; Allgemein'!$D$3),IF($I30&gt;='Konto &amp; Allgemein'!$E$8,2,1),0)</f>
        <v>0</v>
      </c>
      <c r="E30" s="45">
        <f>IFERROR(VLOOKUP($F30,Normalpreisliste!$A$2:$D$100,4,FALSE),0)</f>
        <v>0</v>
      </c>
      <c r="F30" s="51"/>
      <c r="G30" s="51"/>
      <c r="H30" s="52"/>
      <c r="I30" s="53"/>
      <c r="J30" s="47" t="str">
        <f>IF(OR($E30=0,$H30&lt;1),"-",INDEX(Normalpreisliste!$B$2:$B$101,$E30)*$H30/INDEX(Normalpreisliste!$C$2:$C$101,$E30))</f>
        <v>-</v>
      </c>
      <c r="K30" s="40"/>
      <c r="L30" s="40"/>
      <c r="M30" s="130" t="str">
        <f t="shared" si="0"/>
        <v/>
      </c>
    </row>
    <row r="31" spans="2:13" x14ac:dyDescent="0.25">
      <c r="B31" s="45">
        <f>IFERROR(VLOOKUP($G31,'Konto &amp; Allgemein'!$B$11:$F$19,5,FALSE),0)</f>
        <v>0</v>
      </c>
      <c r="C31" s="45">
        <f>IFERROR(VLOOKUP($G31,'Konto &amp; Allgemein'!$B$11:$E$19,2+$D31,FALSE),0)</f>
        <v>0</v>
      </c>
      <c r="D31" s="45">
        <f>IF(OR($I31&gt;='Konto &amp; Allgemein'!$D$8,$L31='Konto &amp; Allgemein'!$D$3),IF($I31&gt;='Konto &amp; Allgemein'!$E$8,2,1),0)</f>
        <v>0</v>
      </c>
      <c r="E31" s="45">
        <f>IFERROR(VLOOKUP($F31,Normalpreisliste!$A$2:$D$100,4,FALSE),0)</f>
        <v>0</v>
      </c>
      <c r="F31" s="51"/>
      <c r="G31" s="51"/>
      <c r="H31" s="52"/>
      <c r="I31" s="53"/>
      <c r="J31" s="47" t="str">
        <f>IF(OR($E31=0,$H31&lt;1),"-",INDEX(Normalpreisliste!$B$2:$B$101,$E31)*$H31/INDEX(Normalpreisliste!$C$2:$C$101,$E31))</f>
        <v>-</v>
      </c>
      <c r="K31" s="40"/>
      <c r="L31" s="40"/>
      <c r="M31" s="130" t="str">
        <f t="shared" si="0"/>
        <v/>
      </c>
    </row>
    <row r="32" spans="2:13" x14ac:dyDescent="0.25">
      <c r="B32" s="45">
        <f>IFERROR(VLOOKUP($G32,'Konto &amp; Allgemein'!$B$11:$F$19,5,FALSE),0)</f>
        <v>0</v>
      </c>
      <c r="C32" s="45">
        <f>IFERROR(VLOOKUP($G32,'Konto &amp; Allgemein'!$B$11:$E$19,2+$D32,FALSE),0)</f>
        <v>0</v>
      </c>
      <c r="D32" s="45">
        <f>IF(OR($I32&gt;='Konto &amp; Allgemein'!$D$8,$L32='Konto &amp; Allgemein'!$D$3),IF($I32&gt;='Konto &amp; Allgemein'!$E$8,2,1),0)</f>
        <v>0</v>
      </c>
      <c r="E32" s="45">
        <f>IFERROR(VLOOKUP($F32,Normalpreisliste!$A$2:$D$100,4,FALSE),0)</f>
        <v>0</v>
      </c>
      <c r="F32" s="51"/>
      <c r="G32" s="51"/>
      <c r="H32" s="52"/>
      <c r="I32" s="53"/>
      <c r="J32" s="47" t="str">
        <f>IF(OR($E32=0,$H32&lt;1),"-",INDEX(Normalpreisliste!$B$2:$B$101,$E32)*$H32/INDEX(Normalpreisliste!$C$2:$C$101,$E32))</f>
        <v>-</v>
      </c>
      <c r="K32" s="40"/>
      <c r="L32" s="40"/>
      <c r="M32" s="130" t="str">
        <f t="shared" si="0"/>
        <v/>
      </c>
    </row>
    <row r="33" spans="2:13" x14ac:dyDescent="0.25">
      <c r="B33" s="45">
        <f>IFERROR(VLOOKUP($G33,'Konto &amp; Allgemein'!$B$11:$F$19,5,FALSE),0)</f>
        <v>0</v>
      </c>
      <c r="C33" s="45">
        <f>IFERROR(VLOOKUP($G33,'Konto &amp; Allgemein'!$B$11:$E$19,2+$D33,FALSE),0)</f>
        <v>0</v>
      </c>
      <c r="D33" s="45">
        <f>IF(OR($I33&gt;='Konto &amp; Allgemein'!$D$8,$L33='Konto &amp; Allgemein'!$D$3),IF($I33&gt;='Konto &amp; Allgemein'!$E$8,2,1),0)</f>
        <v>0</v>
      </c>
      <c r="E33" s="45">
        <f>IFERROR(VLOOKUP($F33,Normalpreisliste!$A$2:$D$100,4,FALSE),0)</f>
        <v>0</v>
      </c>
      <c r="F33" s="51"/>
      <c r="G33" s="51"/>
      <c r="H33" s="52"/>
      <c r="I33" s="53"/>
      <c r="J33" s="47" t="str">
        <f>IF(OR($E33=0,$H33&lt;1),"-",INDEX(Normalpreisliste!$B$2:$B$101,$E33)*$H33/INDEX(Normalpreisliste!$C$2:$C$101,$E33))</f>
        <v>-</v>
      </c>
      <c r="K33" s="40"/>
      <c r="L33" s="40"/>
      <c r="M33" s="130" t="str">
        <f t="shared" si="0"/>
        <v/>
      </c>
    </row>
    <row r="34" spans="2:13" x14ac:dyDescent="0.25">
      <c r="B34" s="45">
        <f>IFERROR(VLOOKUP($G34,'Konto &amp; Allgemein'!$B$11:$F$19,5,FALSE),0)</f>
        <v>0</v>
      </c>
      <c r="C34" s="45">
        <f>IFERROR(VLOOKUP($G34,'Konto &amp; Allgemein'!$B$11:$E$19,2+$D34,FALSE),0)</f>
        <v>0</v>
      </c>
      <c r="D34" s="45">
        <f>IF(OR($I34&gt;='Konto &amp; Allgemein'!$D$8,$L34='Konto &amp; Allgemein'!$D$3),IF($I34&gt;='Konto &amp; Allgemein'!$E$8,2,1),0)</f>
        <v>0</v>
      </c>
      <c r="E34" s="45">
        <f>IFERROR(VLOOKUP($F34,Normalpreisliste!$A$2:$D$100,4,FALSE),0)</f>
        <v>0</v>
      </c>
      <c r="F34" s="51"/>
      <c r="G34" s="51"/>
      <c r="H34" s="52"/>
      <c r="I34" s="53"/>
      <c r="J34" s="47" t="str">
        <f>IF(OR($E34=0,$H34&lt;1),"-",INDEX(Normalpreisliste!$B$2:$B$101,$E34)*$H34/INDEX(Normalpreisliste!$C$2:$C$101,$E34))</f>
        <v>-</v>
      </c>
      <c r="K34" s="40"/>
      <c r="L34" s="40"/>
      <c r="M34" s="130" t="str">
        <f t="shared" si="0"/>
        <v/>
      </c>
    </row>
    <row r="35" spans="2:13" x14ac:dyDescent="0.25">
      <c r="B35" s="45">
        <f>IFERROR(VLOOKUP($G35,'Konto &amp; Allgemein'!$B$11:$F$19,5,FALSE),0)</f>
        <v>0</v>
      </c>
      <c r="C35" s="45">
        <f>IFERROR(VLOOKUP($G35,'Konto &amp; Allgemein'!$B$11:$E$19,2+$D35,FALSE),0)</f>
        <v>0</v>
      </c>
      <c r="D35" s="45">
        <f>IF(OR($I35&gt;='Konto &amp; Allgemein'!$D$8,$L35='Konto &amp; Allgemein'!$D$3),IF($I35&gt;='Konto &amp; Allgemein'!$E$8,2,1),0)</f>
        <v>0</v>
      </c>
      <c r="E35" s="45">
        <f>IFERROR(VLOOKUP($F35,Normalpreisliste!$A$2:$D$100,4,FALSE),0)</f>
        <v>0</v>
      </c>
      <c r="F35" s="51"/>
      <c r="G35" s="51"/>
      <c r="H35" s="52"/>
      <c r="I35" s="53"/>
      <c r="J35" s="47" t="str">
        <f>IF(OR($E35=0,$H35&lt;1),"-",INDEX(Normalpreisliste!$B$2:$B$101,$E35)*$H35/INDEX(Normalpreisliste!$C$2:$C$101,$E35))</f>
        <v>-</v>
      </c>
      <c r="K35" s="40"/>
      <c r="L35" s="40"/>
      <c r="M35" s="130" t="str">
        <f t="shared" si="0"/>
        <v/>
      </c>
    </row>
    <row r="36" spans="2:13" x14ac:dyDescent="0.25">
      <c r="B36" s="45">
        <f>IFERROR(VLOOKUP($G36,'Konto &amp; Allgemein'!$B$11:$F$19,5,FALSE),0)</f>
        <v>0</v>
      </c>
      <c r="C36" s="45">
        <f>IFERROR(VLOOKUP($G36,'Konto &amp; Allgemein'!$B$11:$E$19,2+$D36,FALSE),0)</f>
        <v>0</v>
      </c>
      <c r="D36" s="45">
        <f>IF(OR($I36&gt;='Konto &amp; Allgemein'!$D$8,$L36='Konto &amp; Allgemein'!$D$3),IF($I36&gt;='Konto &amp; Allgemein'!$E$8,2,1),0)</f>
        <v>0</v>
      </c>
      <c r="E36" s="45">
        <f>IFERROR(VLOOKUP($F36,Normalpreisliste!$A$2:$D$100,4,FALSE),0)</f>
        <v>0</v>
      </c>
      <c r="F36" s="51"/>
      <c r="G36" s="51"/>
      <c r="H36" s="52"/>
      <c r="I36" s="53"/>
      <c r="J36" s="47" t="str">
        <f>IF(OR($E36=0,$H36&lt;1),"-",INDEX(Normalpreisliste!$B$2:$B$101,$E36)*$H36/INDEX(Normalpreisliste!$C$2:$C$101,$E36))</f>
        <v>-</v>
      </c>
      <c r="K36" s="40"/>
      <c r="L36" s="40"/>
      <c r="M36" s="130" t="str">
        <f t="shared" si="0"/>
        <v/>
      </c>
    </row>
    <row r="37" spans="2:13" x14ac:dyDescent="0.25">
      <c r="B37" s="45">
        <f>IFERROR(VLOOKUP($G37,'Konto &amp; Allgemein'!$B$11:$F$19,5,FALSE),0)</f>
        <v>0</v>
      </c>
      <c r="C37" s="45">
        <f>IFERROR(VLOOKUP($G37,'Konto &amp; Allgemein'!$B$11:$E$19,2+$D37,FALSE),0)</f>
        <v>0</v>
      </c>
      <c r="D37" s="45">
        <f>IF(OR($I37&gt;='Konto &amp; Allgemein'!$D$8,$L37='Konto &amp; Allgemein'!$D$3),IF($I37&gt;='Konto &amp; Allgemein'!$E$8,2,1),0)</f>
        <v>0</v>
      </c>
      <c r="E37" s="45">
        <f>IFERROR(VLOOKUP($F37,Normalpreisliste!$A$2:$D$100,4,FALSE),0)</f>
        <v>0</v>
      </c>
      <c r="F37" s="51"/>
      <c r="G37" s="51"/>
      <c r="H37" s="52"/>
      <c r="I37" s="53"/>
      <c r="J37" s="47" t="str">
        <f>IF(OR($E37=0,$H37&lt;1),"-",INDEX(Normalpreisliste!$B$2:$B$101,$E37)*$H37/INDEX(Normalpreisliste!$C$2:$C$101,$E37))</f>
        <v>-</v>
      </c>
      <c r="K37" s="40"/>
      <c r="L37" s="40"/>
      <c r="M37" s="130" t="str">
        <f t="shared" si="0"/>
        <v/>
      </c>
    </row>
    <row r="38" spans="2:13" x14ac:dyDescent="0.25">
      <c r="B38" s="45">
        <f>IFERROR(VLOOKUP($G38,'Konto &amp; Allgemein'!$B$11:$F$19,5,FALSE),0)</f>
        <v>0</v>
      </c>
      <c r="C38" s="45">
        <f>IFERROR(VLOOKUP($G38,'Konto &amp; Allgemein'!$B$11:$E$19,2+$D38,FALSE),0)</f>
        <v>0</v>
      </c>
      <c r="D38" s="45">
        <f>IF(OR($I38&gt;='Konto &amp; Allgemein'!$D$8,$L38='Konto &amp; Allgemein'!$D$3),IF($I38&gt;='Konto &amp; Allgemein'!$E$8,2,1),0)</f>
        <v>0</v>
      </c>
      <c r="E38" s="45">
        <f>IFERROR(VLOOKUP($F38,Normalpreisliste!$A$2:$D$100,4,FALSE),0)</f>
        <v>0</v>
      </c>
      <c r="F38" s="51"/>
      <c r="G38" s="51"/>
      <c r="H38" s="52"/>
      <c r="I38" s="53"/>
      <c r="J38" s="47" t="str">
        <f>IF(OR($E38=0,$H38&lt;1),"-",INDEX(Normalpreisliste!$B$2:$B$101,$E38)*$H38/INDEX(Normalpreisliste!$C$2:$C$101,$E38))</f>
        <v>-</v>
      </c>
      <c r="K38" s="40"/>
      <c r="L38" s="40"/>
      <c r="M38" s="130" t="str">
        <f t="shared" si="0"/>
        <v/>
      </c>
    </row>
    <row r="39" spans="2:13" x14ac:dyDescent="0.25">
      <c r="B39" s="45">
        <f>IFERROR(VLOOKUP($G39,'Konto &amp; Allgemein'!$B$11:$F$19,5,FALSE),0)</f>
        <v>0</v>
      </c>
      <c r="C39" s="45">
        <f>IFERROR(VLOOKUP($G39,'Konto &amp; Allgemein'!$B$11:$E$19,2+$D39,FALSE),0)</f>
        <v>0</v>
      </c>
      <c r="D39" s="45">
        <f>IF(OR($I39&gt;='Konto &amp; Allgemein'!$D$8,$L39='Konto &amp; Allgemein'!$D$3),IF($I39&gt;='Konto &amp; Allgemein'!$E$8,2,1),0)</f>
        <v>0</v>
      </c>
      <c r="E39" s="45">
        <f>IFERROR(VLOOKUP($F39,Normalpreisliste!$A$2:$D$100,4,FALSE),0)</f>
        <v>0</v>
      </c>
      <c r="F39" s="51"/>
      <c r="G39" s="51"/>
      <c r="H39" s="52"/>
      <c r="I39" s="53"/>
      <c r="J39" s="47" t="str">
        <f>IF(OR($E39=0,$H39&lt;1),"-",INDEX(Normalpreisliste!$B$2:$B$101,$E39)*$H39/INDEX(Normalpreisliste!$C$2:$C$101,$E39))</f>
        <v>-</v>
      </c>
      <c r="K39" s="40"/>
      <c r="L39" s="40"/>
      <c r="M39" s="130" t="str">
        <f t="shared" si="0"/>
        <v/>
      </c>
    </row>
    <row r="40" spans="2:13" x14ac:dyDescent="0.25">
      <c r="B40" s="45">
        <f>IFERROR(VLOOKUP($G40,'Konto &amp; Allgemein'!$B$11:$F$19,5,FALSE),0)</f>
        <v>0</v>
      </c>
      <c r="C40" s="45">
        <f>IFERROR(VLOOKUP($G40,'Konto &amp; Allgemein'!$B$11:$E$19,2+$D40,FALSE),0)</f>
        <v>0</v>
      </c>
      <c r="D40" s="45">
        <f>IF(OR($I40&gt;='Konto &amp; Allgemein'!$D$8,$L40='Konto &amp; Allgemein'!$D$3),IF($I40&gt;='Konto &amp; Allgemein'!$E$8,2,1),0)</f>
        <v>0</v>
      </c>
      <c r="E40" s="45">
        <f>IFERROR(VLOOKUP($F40,Normalpreisliste!$A$2:$D$100,4,FALSE),0)</f>
        <v>0</v>
      </c>
      <c r="F40" s="51"/>
      <c r="G40" s="51"/>
      <c r="H40" s="52"/>
      <c r="I40" s="53"/>
      <c r="J40" s="47" t="str">
        <f>IF(OR($E40=0,$H40&lt;1),"-",INDEX(Normalpreisliste!$B$2:$B$101,$E40)*$H40/INDEX(Normalpreisliste!$C$2:$C$101,$E40))</f>
        <v>-</v>
      </c>
      <c r="K40" s="40"/>
      <c r="L40" s="40"/>
      <c r="M40" s="130" t="str">
        <f t="shared" si="0"/>
        <v/>
      </c>
    </row>
    <row r="41" spans="2:13" x14ac:dyDescent="0.25">
      <c r="B41" s="45">
        <f>IFERROR(VLOOKUP($G41,'Konto &amp; Allgemein'!$B$11:$F$19,5,FALSE),0)</f>
        <v>0</v>
      </c>
      <c r="C41" s="45">
        <f>IFERROR(VLOOKUP($G41,'Konto &amp; Allgemein'!$B$11:$E$19,2+$D41,FALSE),0)</f>
        <v>0</v>
      </c>
      <c r="D41" s="45">
        <f>IF(OR($I41&gt;='Konto &amp; Allgemein'!$D$8,$L41='Konto &amp; Allgemein'!$D$3),IF($I41&gt;='Konto &amp; Allgemein'!$E$8,2,1),0)</f>
        <v>0</v>
      </c>
      <c r="E41" s="45">
        <f>IFERROR(VLOOKUP($F41,Normalpreisliste!$A$2:$D$100,4,FALSE),0)</f>
        <v>0</v>
      </c>
      <c r="F41" s="51"/>
      <c r="G41" s="51"/>
      <c r="H41" s="52"/>
      <c r="I41" s="53"/>
      <c r="J41" s="47" t="str">
        <f>IF(OR($E41=0,$H41&lt;1),"-",INDEX(Normalpreisliste!$B$2:$B$101,$E41)*$H41/INDEX(Normalpreisliste!$C$2:$C$101,$E41))</f>
        <v>-</v>
      </c>
      <c r="K41" s="40"/>
      <c r="L41" s="40"/>
      <c r="M41" s="130" t="str">
        <f t="shared" si="0"/>
        <v/>
      </c>
    </row>
    <row r="42" spans="2:13" x14ac:dyDescent="0.25">
      <c r="B42" s="45">
        <f>IFERROR(VLOOKUP($G42,'Konto &amp; Allgemein'!$B$11:$F$19,5,FALSE),0)</f>
        <v>0</v>
      </c>
      <c r="C42" s="45">
        <f>IFERROR(VLOOKUP($G42,'Konto &amp; Allgemein'!$B$11:$E$19,2+$D42,FALSE),0)</f>
        <v>0</v>
      </c>
      <c r="D42" s="45">
        <f>IF(OR($I42&gt;='Konto &amp; Allgemein'!$D$8,$L42='Konto &amp; Allgemein'!$D$3),IF($I42&gt;='Konto &amp; Allgemein'!$E$8,2,1),0)</f>
        <v>0</v>
      </c>
      <c r="E42" s="45">
        <f>IFERROR(VLOOKUP($F42,Normalpreisliste!$A$2:$D$100,4,FALSE),0)</f>
        <v>0</v>
      </c>
      <c r="F42" s="51"/>
      <c r="G42" s="51"/>
      <c r="H42" s="52"/>
      <c r="I42" s="53"/>
      <c r="J42" s="47" t="str">
        <f>IF(OR($E42=0,$H42&lt;1),"-",INDEX(Normalpreisliste!$B$2:$B$101,$E42)*$H42/INDEX(Normalpreisliste!$C$2:$C$101,$E42))</f>
        <v>-</v>
      </c>
      <c r="K42" s="40"/>
      <c r="L42" s="40"/>
      <c r="M42" s="130" t="str">
        <f t="shared" si="0"/>
        <v/>
      </c>
    </row>
    <row r="43" spans="2:13" x14ac:dyDescent="0.25">
      <c r="B43" s="45">
        <f>IFERROR(VLOOKUP($G43,'Konto &amp; Allgemein'!$B$11:$F$19,5,FALSE),0)</f>
        <v>0</v>
      </c>
      <c r="C43" s="45">
        <f>IFERROR(VLOOKUP($G43,'Konto &amp; Allgemein'!$B$11:$E$19,2+$D43,FALSE),0)</f>
        <v>0</v>
      </c>
      <c r="D43" s="45">
        <f>IF(OR($I43&gt;='Konto &amp; Allgemein'!$D$8,$L43='Konto &amp; Allgemein'!$D$3),IF($I43&gt;='Konto &amp; Allgemein'!$E$8,2,1),0)</f>
        <v>0</v>
      </c>
      <c r="E43" s="45">
        <f>IFERROR(VLOOKUP($F43,Normalpreisliste!$A$2:$D$100,4,FALSE),0)</f>
        <v>0</v>
      </c>
      <c r="F43" s="51"/>
      <c r="G43" s="51"/>
      <c r="H43" s="52"/>
      <c r="I43" s="53"/>
      <c r="J43" s="47" t="str">
        <f>IF(OR($E43=0,$H43&lt;1),"-",INDEX(Normalpreisliste!$B$2:$B$101,$E43)*$H43/INDEX(Normalpreisliste!$C$2:$C$101,$E43))</f>
        <v>-</v>
      </c>
      <c r="K43" s="40"/>
      <c r="L43" s="40"/>
      <c r="M43" s="130" t="str">
        <f t="shared" si="0"/>
        <v/>
      </c>
    </row>
    <row r="44" spans="2:13" x14ac:dyDescent="0.25">
      <c r="B44" s="45">
        <f>IFERROR(VLOOKUP($G44,'Konto &amp; Allgemein'!$B$11:$F$19,5,FALSE),0)</f>
        <v>0</v>
      </c>
      <c r="C44" s="45">
        <f>IFERROR(VLOOKUP($G44,'Konto &amp; Allgemein'!$B$11:$E$19,2+$D44,FALSE),0)</f>
        <v>0</v>
      </c>
      <c r="D44" s="45">
        <f>IF(OR($I44&gt;='Konto &amp; Allgemein'!$D$8,$L44='Konto &amp; Allgemein'!$D$3),IF($I44&gt;='Konto &amp; Allgemein'!$E$8,2,1),0)</f>
        <v>0</v>
      </c>
      <c r="E44" s="45">
        <f>IFERROR(VLOOKUP($F44,Normalpreisliste!$A$2:$D$100,4,FALSE),0)</f>
        <v>0</v>
      </c>
      <c r="F44" s="51"/>
      <c r="G44" s="51"/>
      <c r="H44" s="52"/>
      <c r="I44" s="53"/>
      <c r="J44" s="47" t="str">
        <f>IF(OR($E44=0,$H44&lt;1),"-",INDEX(Normalpreisliste!$B$2:$B$101,$E44)*$H44/INDEX(Normalpreisliste!$C$2:$C$101,$E44))</f>
        <v>-</v>
      </c>
      <c r="K44" s="40"/>
      <c r="L44" s="40"/>
      <c r="M44" s="130" t="str">
        <f t="shared" si="0"/>
        <v/>
      </c>
    </row>
    <row r="45" spans="2:13" x14ac:dyDescent="0.25">
      <c r="B45" s="45">
        <f>IFERROR(VLOOKUP($G45,'Konto &amp; Allgemein'!$B$11:$F$19,5,FALSE),0)</f>
        <v>0</v>
      </c>
      <c r="C45" s="45">
        <f>IFERROR(VLOOKUP($G45,'Konto &amp; Allgemein'!$B$11:$E$19,2+$D45,FALSE),0)</f>
        <v>0</v>
      </c>
      <c r="D45" s="45">
        <f>IF(OR($I45&gt;='Konto &amp; Allgemein'!$D$8,$L45='Konto &amp; Allgemein'!$D$3),IF($I45&gt;='Konto &amp; Allgemein'!$E$8,2,1),0)</f>
        <v>0</v>
      </c>
      <c r="E45" s="45">
        <f>IFERROR(VLOOKUP($F45,Normalpreisliste!$A$2:$D$100,4,FALSE),0)</f>
        <v>0</v>
      </c>
      <c r="F45" s="51"/>
      <c r="G45" s="51"/>
      <c r="H45" s="52"/>
      <c r="I45" s="53"/>
      <c r="J45" s="47" t="str">
        <f>IF(OR($E45=0,$H45&lt;1),"-",INDEX(Normalpreisliste!$B$2:$B$101,$E45)*$H45/INDEX(Normalpreisliste!$C$2:$C$101,$E45))</f>
        <v>-</v>
      </c>
      <c r="K45" s="40"/>
      <c r="L45" s="40"/>
      <c r="M45" s="130" t="str">
        <f t="shared" si="0"/>
        <v/>
      </c>
    </row>
    <row r="46" spans="2:13" x14ac:dyDescent="0.25">
      <c r="B46" s="45">
        <f>IFERROR(VLOOKUP($G46,'Konto &amp; Allgemein'!$B$11:$F$19,5,FALSE),0)</f>
        <v>0</v>
      </c>
      <c r="C46" s="45">
        <f>IFERROR(VLOOKUP($G46,'Konto &amp; Allgemein'!$B$11:$E$19,2+$D46,FALSE),0)</f>
        <v>0</v>
      </c>
      <c r="D46" s="45">
        <f>IF(OR($I46&gt;='Konto &amp; Allgemein'!$D$8,$L46='Konto &amp; Allgemein'!$D$3),IF($I46&gt;='Konto &amp; Allgemein'!$E$8,2,1),0)</f>
        <v>0</v>
      </c>
      <c r="E46" s="45">
        <f>IFERROR(VLOOKUP($F46,Normalpreisliste!$A$2:$D$100,4,FALSE),0)</f>
        <v>0</v>
      </c>
      <c r="F46" s="51"/>
      <c r="G46" s="51"/>
      <c r="H46" s="52"/>
      <c r="I46" s="53"/>
      <c r="J46" s="47" t="str">
        <f>IF(OR($E46=0,$H46&lt;1),"-",INDEX(Normalpreisliste!$B$2:$B$101,$E46)*$H46/INDEX(Normalpreisliste!$C$2:$C$101,$E46))</f>
        <v>-</v>
      </c>
      <c r="K46" s="40"/>
      <c r="L46" s="40"/>
      <c r="M46" s="130" t="str">
        <f t="shared" si="0"/>
        <v/>
      </c>
    </row>
    <row r="47" spans="2:13" x14ac:dyDescent="0.25">
      <c r="B47" s="45">
        <f>IFERROR(VLOOKUP($G47,'Konto &amp; Allgemein'!$B$11:$F$19,5,FALSE),0)</f>
        <v>0</v>
      </c>
      <c r="C47" s="45">
        <f>IFERROR(VLOOKUP($G47,'Konto &amp; Allgemein'!$B$11:$E$19,2+$D47,FALSE),0)</f>
        <v>0</v>
      </c>
      <c r="D47" s="45">
        <f>IF(OR($I47&gt;='Konto &amp; Allgemein'!$D$8,$L47='Konto &amp; Allgemein'!$D$3),IF($I47&gt;='Konto &amp; Allgemein'!$E$8,2,1),0)</f>
        <v>0</v>
      </c>
      <c r="E47" s="45">
        <f>IFERROR(VLOOKUP($F47,Normalpreisliste!$A$2:$D$100,4,FALSE),0)</f>
        <v>0</v>
      </c>
      <c r="F47" s="51"/>
      <c r="G47" s="51"/>
      <c r="H47" s="52"/>
      <c r="I47" s="53"/>
      <c r="J47" s="47" t="str">
        <f>IF(OR($E47=0,$H47&lt;1),"-",INDEX(Normalpreisliste!$B$2:$B$101,$E47)*$H47/INDEX(Normalpreisliste!$C$2:$C$101,$E47))</f>
        <v>-</v>
      </c>
      <c r="K47" s="40"/>
      <c r="L47" s="40"/>
      <c r="M47" s="130" t="str">
        <f t="shared" si="0"/>
        <v/>
      </c>
    </row>
    <row r="48" spans="2:13" x14ac:dyDescent="0.25">
      <c r="B48" s="45">
        <f>IFERROR(VLOOKUP($G48,'Konto &amp; Allgemein'!$B$11:$F$19,5,FALSE),0)</f>
        <v>0</v>
      </c>
      <c r="C48" s="45">
        <f>IFERROR(VLOOKUP($G48,'Konto &amp; Allgemein'!$B$11:$E$19,2+$D48,FALSE),0)</f>
        <v>0</v>
      </c>
      <c r="D48" s="45">
        <f>IF(OR($I48&gt;='Konto &amp; Allgemein'!$D$8,$L48='Konto &amp; Allgemein'!$D$3),IF($I48&gt;='Konto &amp; Allgemein'!$E$8,2,1),0)</f>
        <v>0</v>
      </c>
      <c r="E48" s="45">
        <f>IFERROR(VLOOKUP($F48,Normalpreisliste!$A$2:$D$100,4,FALSE),0)</f>
        <v>0</v>
      </c>
      <c r="F48" s="51"/>
      <c r="G48" s="51"/>
      <c r="H48" s="52"/>
      <c r="I48" s="53"/>
      <c r="J48" s="47" t="str">
        <f>IF(OR($E48=0,$H48&lt;1),"-",INDEX(Normalpreisliste!$B$2:$B$101,$E48)*$H48/INDEX(Normalpreisliste!$C$2:$C$101,$E48))</f>
        <v>-</v>
      </c>
      <c r="K48" s="40"/>
      <c r="L48" s="40"/>
      <c r="M48" s="130" t="str">
        <f t="shared" si="0"/>
        <v/>
      </c>
    </row>
    <row r="49" spans="2:13" x14ac:dyDescent="0.25">
      <c r="B49" s="45">
        <f>IFERROR(VLOOKUP($G49,'Konto &amp; Allgemein'!$B$11:$F$19,5,FALSE),0)</f>
        <v>0</v>
      </c>
      <c r="C49" s="45">
        <f>IFERROR(VLOOKUP($G49,'Konto &amp; Allgemein'!$B$11:$E$19,2+$D49,FALSE),0)</f>
        <v>0</v>
      </c>
      <c r="D49" s="45">
        <f>IF(OR($I49&gt;='Konto &amp; Allgemein'!$D$8,$L49='Konto &amp; Allgemein'!$D$3),IF($I49&gt;='Konto &amp; Allgemein'!$E$8,2,1),0)</f>
        <v>0</v>
      </c>
      <c r="E49" s="45">
        <f>IFERROR(VLOOKUP($F49,Normalpreisliste!$A$2:$D$100,4,FALSE),0)</f>
        <v>0</v>
      </c>
      <c r="F49" s="51"/>
      <c r="G49" s="51"/>
      <c r="H49" s="52"/>
      <c r="I49" s="53"/>
      <c r="J49" s="47" t="str">
        <f>IF(OR($E49=0,$H49&lt;1),"-",INDEX(Normalpreisliste!$B$2:$B$101,$E49)*$H49/INDEX(Normalpreisliste!$C$2:$C$101,$E49))</f>
        <v>-</v>
      </c>
      <c r="K49" s="40"/>
      <c r="L49" s="40"/>
      <c r="M49" s="130" t="str">
        <f t="shared" si="0"/>
        <v/>
      </c>
    </row>
    <row r="50" spans="2:13" x14ac:dyDescent="0.25">
      <c r="B50" s="45">
        <f>IFERROR(VLOOKUP($G50,'Konto &amp; Allgemein'!$B$11:$F$19,5,FALSE),0)</f>
        <v>0</v>
      </c>
      <c r="C50" s="45">
        <f>IFERROR(VLOOKUP($G50,'Konto &amp; Allgemein'!$B$11:$E$19,2+$D50,FALSE),0)</f>
        <v>0</v>
      </c>
      <c r="D50" s="45">
        <f>IF(OR($I50&gt;='Konto &amp; Allgemein'!$D$8,$L50='Konto &amp; Allgemein'!$D$3),IF($I50&gt;='Konto &amp; Allgemein'!$E$8,2,1),0)</f>
        <v>0</v>
      </c>
      <c r="E50" s="45">
        <f>IFERROR(VLOOKUP($F50,Normalpreisliste!$A$2:$D$100,4,FALSE),0)</f>
        <v>0</v>
      </c>
      <c r="F50" s="51"/>
      <c r="G50" s="51"/>
      <c r="H50" s="52"/>
      <c r="I50" s="53"/>
      <c r="J50" s="47" t="str">
        <f>IF(OR($E50=0,$H50&lt;1),"-",INDEX(Normalpreisliste!$B$2:$B$101,$E50)*$H50/INDEX(Normalpreisliste!$C$2:$C$101,$E50))</f>
        <v>-</v>
      </c>
      <c r="K50" s="40"/>
      <c r="L50" s="40"/>
      <c r="M50" s="130" t="str">
        <f t="shared" si="0"/>
        <v/>
      </c>
    </row>
    <row r="51" spans="2:13" x14ac:dyDescent="0.25">
      <c r="B51" s="45">
        <f>IFERROR(VLOOKUP($G51,'Konto &amp; Allgemein'!$B$11:$F$19,5,FALSE),0)</f>
        <v>0</v>
      </c>
      <c r="C51" s="45">
        <f>IFERROR(VLOOKUP($G51,'Konto &amp; Allgemein'!$B$11:$E$19,2+$D51,FALSE),0)</f>
        <v>0</v>
      </c>
      <c r="D51" s="45">
        <f>IF(OR($I51&gt;='Konto &amp; Allgemein'!$D$8,$L51='Konto &amp; Allgemein'!$D$3),IF($I51&gt;='Konto &amp; Allgemein'!$E$8,2,1),0)</f>
        <v>0</v>
      </c>
      <c r="E51" s="45">
        <f>IFERROR(VLOOKUP($F51,Normalpreisliste!$A$2:$D$100,4,FALSE),0)</f>
        <v>0</v>
      </c>
      <c r="F51" s="51"/>
      <c r="G51" s="51"/>
      <c r="H51" s="52"/>
      <c r="I51" s="53"/>
      <c r="J51" s="47" t="str">
        <f>IF(OR($E51=0,$H51&lt;1),"-",INDEX(Normalpreisliste!$B$2:$B$101,$E51)*$H51/INDEX(Normalpreisliste!$C$2:$C$101,$E51))</f>
        <v>-</v>
      </c>
      <c r="K51" s="40"/>
      <c r="L51" s="40"/>
      <c r="M51" s="130" t="str">
        <f t="shared" si="0"/>
        <v/>
      </c>
    </row>
    <row r="52" spans="2:13" x14ac:dyDescent="0.25">
      <c r="B52" s="45">
        <f>IFERROR(VLOOKUP($G52,'Konto &amp; Allgemein'!$B$11:$F$19,5,FALSE),0)</f>
        <v>0</v>
      </c>
      <c r="C52" s="45">
        <f>IFERROR(VLOOKUP($G52,'Konto &amp; Allgemein'!$B$11:$E$19,2+$D52,FALSE),0)</f>
        <v>0</v>
      </c>
      <c r="D52" s="45">
        <f>IF(OR($I52&gt;='Konto &amp; Allgemein'!$D$8,$L52='Konto &amp; Allgemein'!$D$3),IF($I52&gt;='Konto &amp; Allgemein'!$E$8,2,1),0)</f>
        <v>0</v>
      </c>
      <c r="E52" s="45">
        <f>IFERROR(VLOOKUP($F52,Normalpreisliste!$A$2:$D$100,4,FALSE),0)</f>
        <v>0</v>
      </c>
      <c r="F52" s="51"/>
      <c r="G52" s="51"/>
      <c r="H52" s="52"/>
      <c r="I52" s="53"/>
      <c r="J52" s="47" t="str">
        <f>IF(OR($E52=0,$H52&lt;1),"-",INDEX(Normalpreisliste!$B$2:$B$101,$E52)*$H52/INDEX(Normalpreisliste!$C$2:$C$101,$E52))</f>
        <v>-</v>
      </c>
      <c r="K52" s="40"/>
      <c r="L52" s="40"/>
      <c r="M52" s="130" t="str">
        <f t="shared" si="0"/>
        <v/>
      </c>
    </row>
  </sheetData>
  <sheetProtection algorithmName="SHA-512" hashValue="RlIU3fSBfIfCUZ7sBotVAEJfxO0nBVjWUjxY+gXZ3l+5KRtc4H9nS2RU63tizU56bO7/ldiZsRunWQqnO5mjwA==" saltValue="cij9L7z9p51OekTxm8bmtA==" spinCount="100000" sheet="1" objects="1" scenarios="1"/>
  <mergeCells count="6">
    <mergeCell ref="H1:H2"/>
    <mergeCell ref="I1:I2"/>
    <mergeCell ref="J1:J2"/>
    <mergeCell ref="F1:G1"/>
    <mergeCell ref="L1:L2"/>
    <mergeCell ref="K1:K2"/>
  </mergeCells>
  <dataValidations count="6">
    <dataValidation allowBlank="1" showDropDown="1" showInputMessage="1" sqref="E3:E52"/>
    <dataValidation allowBlank="1" showInputMessage="1" showErrorMessage="1" promptTitle="Begründung" prompt="Hier kann eine genauere Beschreibung der Anschaffung erfolgen._x000a_Zusätzlich muss eine Begründung erfolgen, warum die Anschaffung getätigt werden soll, bzw. welchen Nutzen die Studierendenschaft davon hat." sqref="K3:K52"/>
    <dataValidation allowBlank="1" showInputMessage="1" showErrorMessage="1" promptTitle="Normalpreis" prompt="Wird nur angezeigt, wenn bei der Bezeichnung eine Auswahl aus der Liste erfolgt._x000a_Achtung: Teilweise sind die Daten älter, der HA / das StuPa könnte die Beträge evtl. noch anpassen!" sqref="J3:J52"/>
    <dataValidation allowBlank="1" showInputMessage="1" showErrorMessage="1" promptTitle="Beantragte Mittel" prompt="Kosten in Summe._x000a_Incl. Steuern und Versand._x000a_Die eingereichten Rechnungen dürfen diesen Betrag nicht übersteigen._x000a_Der Wert ist auf volle 10€ zu runden." sqref="I3:I52"/>
    <dataValidation allowBlank="1" showInputMessage="1" showErrorMessage="1" promptTitle="Anzahl" prompt="Anzahl, um die Stückkosten bestimmen zu können._x000a_(Stückkosten=Kosten in Summe / Anzahl)_x000a_Die Stückkosten dürfen später nicht überschritten werden._x000a_Andererseits führen zu hohe Stückkosten leichter zur Ablehnung des Antrags." sqref="H3:H52"/>
    <dataValidation allowBlank="1" showInputMessage="1" showErrorMessage="1" prompt="0: Nein_x000a_1: Für Übergabe inventarisieren_x000a_2: In Anlagevermögen aufnehmen (Investition nach WP/HP)" sqref="D2"/>
  </dataValidations>
  <pageMargins left="0.7" right="0.7" top="0.78740157499999996" bottom="0.78740157499999996" header="0.3" footer="0.3"/>
  <pageSetup paperSize="9" orientation="portrait" r:id="rId1"/>
  <ignoredErrors>
    <ignoredError sqref="C3 C8:C50 C51:C52 C6:C7 C5 E5 E4 E3 E8:E50 E51:E52 E6:E7 D3:D52 B3:B52 J22:J52 J3:J21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Bezeichnung" prompt="Entweder aus Liste auswählen, oder möglichst vielsagende, selbsterklärende und präzise Beschreibung des Artikels._x000a__x000a_Achtung: Das vorhandensein von Listeneinträgen bedeutet nicht, dass eine Genehmigung wahrscheinlicher ist!_x000a_Die Begründung ist entscheidend._x000a_">
          <x14:formula1>
            <xm:f>Normalpreisliste!$A$2:$A$101</xm:f>
          </x14:formula1>
          <xm:sqref>F3:F52</xm:sqref>
        </x14:dataValidation>
        <x14:dataValidation type="list" allowBlank="1" showInputMessage="1" showErrorMessage="1" errorTitle="Inventarisierung" error="Es muss &quot;Ja&quot; oder &quot;Nein&quot; ausgewählt werden. Soll z.B: explizit der Haushaltsauschsuss darüber entscheiden, kann das Feld leer gelassen werden." promptTitle="Inventarisierung" prompt="Es gibt laut Inventarordnung verschiedene Kriterien zur Inventarisierung._x000a_Ist eine Inventarisierung nicht notwendig, jedoch sehr sinnvoll, kann hier &quot;Ja&quot; ausgewählt werden.">
          <x14:formula1>
            <xm:f>'Konto &amp; Allgemein'!$D$3:$D$4</xm:f>
          </x14:formula1>
          <xm:sqref>L3:L52</xm:sqref>
        </x14:dataValidation>
        <x14:dataValidation type="list" allowBlank="1" showInputMessage="1" showErrorMessage="1" promptTitle="Art der Kosten" prompt="Muss aus Liste ausgewählt werden._x000a_(Bei Unsicherheiten FR ansprechen / anschreiben)_x000a__x000a_Projekte und Referate dürfen auf dieser Seite NICHT eingetragen werden!_x000a_(Nur in der Tabelle Aufwandsentschädigungen)">
          <x14:formula1>
            <xm:f>'Konto &amp; Allgemein'!$B$10:$B$19</xm:f>
          </x14:formula1>
          <xm:sqref>G3:G52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Pers"/>
  <dimension ref="A1:G52"/>
  <sheetViews>
    <sheetView showGridLines="0" workbookViewId="0">
      <pane ySplit="2" topLeftCell="A3" activePane="bottomLeft" state="frozen"/>
      <selection pane="bottomLeft" activeCell="B3" sqref="B3"/>
    </sheetView>
  </sheetViews>
  <sheetFormatPr baseColWidth="10" defaultRowHeight="15" x14ac:dyDescent="0.25"/>
  <cols>
    <col min="1" max="1" width="2.140625" customWidth="1"/>
    <col min="2" max="2" width="34.28515625" customWidth="1"/>
    <col min="4" max="4" width="15.42578125" customWidth="1"/>
    <col min="5" max="5" width="27.28515625" customWidth="1"/>
  </cols>
  <sheetData>
    <row r="1" spans="1:7" x14ac:dyDescent="0.25">
      <c r="B1" s="146" t="str">
        <f>CONCATENATE("Referats /Projektgründungen (",Kostenstelle!B34,")")</f>
        <v>Referats /Projektgründungen (sonst./überg.)</v>
      </c>
      <c r="C1" s="146"/>
      <c r="D1" s="146"/>
      <c r="E1" s="146"/>
      <c r="F1" s="146"/>
    </row>
    <row r="2" spans="1:7" ht="50.25" customHeight="1" x14ac:dyDescent="0.25">
      <c r="A2" s="34"/>
      <c r="B2" s="106" t="s">
        <v>195</v>
      </c>
      <c r="C2" s="106" t="s">
        <v>77</v>
      </c>
      <c r="D2" s="106" t="s">
        <v>82</v>
      </c>
      <c r="E2" s="106" t="s">
        <v>170</v>
      </c>
      <c r="F2" s="105" t="s">
        <v>196</v>
      </c>
    </row>
    <row r="3" spans="1:7" x14ac:dyDescent="0.25">
      <c r="B3" s="107"/>
      <c r="C3" s="108" t="str">
        <f>IFERROR(IF(OR($B3="",$B3="-"),"",VLOOKUP($B3,Kostenstelle!$H$48:$I$78,2,FALSE)),"")</f>
        <v/>
      </c>
      <c r="D3" s="109"/>
      <c r="E3" s="110"/>
      <c r="F3" s="107"/>
      <c r="G3" s="130" t="str">
        <f>IF(AND(COUNTA(B3,D3:F3)&gt;0,COUNTA(B3,D3,F3)&lt;3),"Der Antrag ist unvollständig und kann so nicht korrekt verarbeitet werden! (Datenverlust!)","")</f>
        <v/>
      </c>
    </row>
    <row r="4" spans="1:7" x14ac:dyDescent="0.25">
      <c r="B4" s="40"/>
      <c r="C4" s="111" t="str">
        <f>IFERROR(IF(OR($B4="",$B4="-"),"",VLOOKUP($B4,Kostenstelle!$H$48:$I$78,2,FALSE)),"")</f>
        <v/>
      </c>
      <c r="D4" s="53"/>
      <c r="E4" s="112"/>
      <c r="F4" s="40"/>
      <c r="G4" s="130" t="str">
        <f t="shared" ref="G4:G52" si="0">IF(AND(COUNTA(B4,D4:F4)&gt;0,COUNTA(B4,D4,F4)&lt;3),"Der Antrag ist unvollständig und kann so nicht korrekt verarbeitet werden! (Datenverlust!)","")</f>
        <v/>
      </c>
    </row>
    <row r="5" spans="1:7" x14ac:dyDescent="0.25">
      <c r="B5" s="40"/>
      <c r="C5" s="111" t="str">
        <f>IFERROR(IF(OR($B5="",$B5="-"),"",VLOOKUP($B5,Kostenstelle!$H$48:$I$78,2,FALSE)),"")</f>
        <v/>
      </c>
      <c r="D5" s="53"/>
      <c r="E5" s="112"/>
      <c r="F5" s="40"/>
      <c r="G5" s="130" t="str">
        <f t="shared" si="0"/>
        <v/>
      </c>
    </row>
    <row r="6" spans="1:7" x14ac:dyDescent="0.25">
      <c r="B6" s="40"/>
      <c r="C6" s="111" t="str">
        <f>IFERROR(IF(OR($B6="",$B6="-"),"",VLOOKUP($B6,Kostenstelle!$H$48:$I$78,2,FALSE)),"")</f>
        <v/>
      </c>
      <c r="D6" s="53"/>
      <c r="E6" s="112"/>
      <c r="F6" s="40"/>
      <c r="G6" s="130" t="str">
        <f t="shared" si="0"/>
        <v/>
      </c>
    </row>
    <row r="7" spans="1:7" x14ac:dyDescent="0.25">
      <c r="B7" s="40"/>
      <c r="C7" s="111" t="str">
        <f>IFERROR(IF(OR($B7="",$B7="-"),"",VLOOKUP($B7,Kostenstelle!$H$48:$I$78,2,FALSE)),"")</f>
        <v/>
      </c>
      <c r="D7" s="53"/>
      <c r="E7" s="112"/>
      <c r="F7" s="40"/>
      <c r="G7" s="130" t="str">
        <f t="shared" si="0"/>
        <v/>
      </c>
    </row>
    <row r="8" spans="1:7" x14ac:dyDescent="0.25">
      <c r="B8" s="40"/>
      <c r="C8" s="111" t="str">
        <f>IFERROR(IF(OR($B8="",$B8="-"),"",VLOOKUP($B8,Kostenstelle!$H$48:$I$78,2,FALSE)),"")</f>
        <v/>
      </c>
      <c r="D8" s="53"/>
      <c r="E8" s="112"/>
      <c r="F8" s="40"/>
      <c r="G8" s="130" t="str">
        <f t="shared" si="0"/>
        <v/>
      </c>
    </row>
    <row r="9" spans="1:7" x14ac:dyDescent="0.25">
      <c r="B9" s="40"/>
      <c r="C9" s="111" t="str">
        <f>IFERROR(IF(OR($B9="",$B9="-"),"",VLOOKUP($B9,Kostenstelle!$H$48:$I$78,2,FALSE)),"")</f>
        <v/>
      </c>
      <c r="D9" s="53"/>
      <c r="E9" s="112"/>
      <c r="F9" s="40"/>
      <c r="G9" s="130" t="str">
        <f t="shared" si="0"/>
        <v/>
      </c>
    </row>
    <row r="10" spans="1:7" x14ac:dyDescent="0.25">
      <c r="B10" s="40"/>
      <c r="C10" s="111" t="str">
        <f>IFERROR(IF(OR($B10="",$B10="-"),"",VLOOKUP($B10,Kostenstelle!$H$48:$I$78,2,FALSE)),"")</f>
        <v/>
      </c>
      <c r="D10" s="53"/>
      <c r="E10" s="112"/>
      <c r="F10" s="40"/>
      <c r="G10" s="130" t="str">
        <f t="shared" si="0"/>
        <v/>
      </c>
    </row>
    <row r="11" spans="1:7" x14ac:dyDescent="0.25">
      <c r="B11" s="40"/>
      <c r="C11" s="111" t="str">
        <f>IFERROR(IF(OR($B11="",$B11="-"),"",VLOOKUP($B11,Kostenstelle!$H$48:$I$78,2,FALSE)),"")</f>
        <v/>
      </c>
      <c r="D11" s="53"/>
      <c r="E11" s="112"/>
      <c r="F11" s="40"/>
      <c r="G11" s="130" t="str">
        <f t="shared" si="0"/>
        <v/>
      </c>
    </row>
    <row r="12" spans="1:7" x14ac:dyDescent="0.25">
      <c r="B12" s="40"/>
      <c r="C12" s="111" t="str">
        <f>IFERROR(IF(OR($B12="",$B12="-"),"",VLOOKUP($B12,Kostenstelle!$H$48:$I$78,2,FALSE)),"")</f>
        <v/>
      </c>
      <c r="D12" s="53"/>
      <c r="E12" s="112"/>
      <c r="F12" s="40"/>
      <c r="G12" s="130" t="str">
        <f t="shared" si="0"/>
        <v/>
      </c>
    </row>
    <row r="13" spans="1:7" x14ac:dyDescent="0.25">
      <c r="B13" s="40"/>
      <c r="C13" s="111" t="str">
        <f>IFERROR(IF(OR($B13="",$B13="-"),"",VLOOKUP($B13,Kostenstelle!$H$48:$I$78,2,FALSE)),"")</f>
        <v/>
      </c>
      <c r="D13" s="53"/>
      <c r="E13" s="112"/>
      <c r="F13" s="40"/>
      <c r="G13" s="130" t="str">
        <f t="shared" si="0"/>
        <v/>
      </c>
    </row>
    <row r="14" spans="1:7" x14ac:dyDescent="0.25">
      <c r="B14" s="40"/>
      <c r="C14" s="111" t="str">
        <f>IFERROR(IF(OR($B14="",$B14="-"),"",VLOOKUP($B14,Kostenstelle!$H$48:$I$78,2,FALSE)),"")</f>
        <v/>
      </c>
      <c r="D14" s="53"/>
      <c r="E14" s="112"/>
      <c r="F14" s="40"/>
      <c r="G14" s="130" t="str">
        <f t="shared" si="0"/>
        <v/>
      </c>
    </row>
    <row r="15" spans="1:7" x14ac:dyDescent="0.25">
      <c r="B15" s="40"/>
      <c r="C15" s="111" t="str">
        <f>IFERROR(IF(OR($B15="",$B15="-"),"",VLOOKUP($B15,Kostenstelle!$H$48:$I$78,2,FALSE)),"")</f>
        <v/>
      </c>
      <c r="D15" s="53"/>
      <c r="E15" s="112"/>
      <c r="F15" s="40"/>
      <c r="G15" s="130" t="str">
        <f t="shared" si="0"/>
        <v/>
      </c>
    </row>
    <row r="16" spans="1:7" x14ac:dyDescent="0.25">
      <c r="B16" s="40"/>
      <c r="C16" s="111" t="str">
        <f>IFERROR(IF(OR($B16="",$B16="-"),"",VLOOKUP($B16,Kostenstelle!$H$48:$I$78,2,FALSE)),"")</f>
        <v/>
      </c>
      <c r="D16" s="53"/>
      <c r="E16" s="112"/>
      <c r="F16" s="40"/>
      <c r="G16" s="130" t="str">
        <f t="shared" si="0"/>
        <v/>
      </c>
    </row>
    <row r="17" spans="2:7" x14ac:dyDescent="0.25">
      <c r="B17" s="40"/>
      <c r="C17" s="111" t="str">
        <f>IFERROR(IF(OR($B17="",$B17="-"),"",VLOOKUP($B17,Kostenstelle!$H$48:$I$78,2,FALSE)),"")</f>
        <v/>
      </c>
      <c r="D17" s="53"/>
      <c r="E17" s="112"/>
      <c r="F17" s="40"/>
      <c r="G17" s="130" t="str">
        <f t="shared" si="0"/>
        <v/>
      </c>
    </row>
    <row r="18" spans="2:7" x14ac:dyDescent="0.25">
      <c r="B18" s="40"/>
      <c r="C18" s="111" t="str">
        <f>IFERROR(IF(OR($B18="",$B18="-"),"",VLOOKUP($B18,Kostenstelle!$H$48:$I$78,2,FALSE)),"")</f>
        <v/>
      </c>
      <c r="D18" s="53"/>
      <c r="E18" s="112"/>
      <c r="F18" s="40"/>
      <c r="G18" s="130" t="str">
        <f t="shared" si="0"/>
        <v/>
      </c>
    </row>
    <row r="19" spans="2:7" x14ac:dyDescent="0.25">
      <c r="B19" s="40"/>
      <c r="C19" s="111" t="str">
        <f>IFERROR(IF(OR($B19="",$B19="-"),"",VLOOKUP($B19,Kostenstelle!$H$48:$I$78,2,FALSE)),"")</f>
        <v/>
      </c>
      <c r="D19" s="53"/>
      <c r="E19" s="112"/>
      <c r="F19" s="40"/>
      <c r="G19" s="130" t="str">
        <f t="shared" si="0"/>
        <v/>
      </c>
    </row>
    <row r="20" spans="2:7" x14ac:dyDescent="0.25">
      <c r="B20" s="40"/>
      <c r="C20" s="111" t="str">
        <f>IFERROR(IF(OR($B20="",$B20="-"),"",VLOOKUP($B20,Kostenstelle!$H$48:$I$78,2,FALSE)),"")</f>
        <v/>
      </c>
      <c r="D20" s="53"/>
      <c r="E20" s="112"/>
      <c r="F20" s="40"/>
      <c r="G20" s="130" t="str">
        <f t="shared" si="0"/>
        <v/>
      </c>
    </row>
    <row r="21" spans="2:7" x14ac:dyDescent="0.25">
      <c r="B21" s="40"/>
      <c r="C21" s="111" t="str">
        <f>IFERROR(IF(OR($B21="",$B21="-"),"",VLOOKUP($B21,Kostenstelle!$H$48:$I$78,2,FALSE)),"")</f>
        <v/>
      </c>
      <c r="D21" s="53"/>
      <c r="E21" s="112"/>
      <c r="F21" s="40"/>
      <c r="G21" s="130" t="str">
        <f t="shared" si="0"/>
        <v/>
      </c>
    </row>
    <row r="22" spans="2:7" x14ac:dyDescent="0.25">
      <c r="B22" s="40"/>
      <c r="C22" s="111" t="str">
        <f>IFERROR(IF(OR($B22="",$B22="-"),"",VLOOKUP($B22,Kostenstelle!$H$48:$I$78,2,FALSE)),"")</f>
        <v/>
      </c>
      <c r="D22" s="53"/>
      <c r="E22" s="112"/>
      <c r="F22" s="40"/>
      <c r="G22" s="130" t="str">
        <f t="shared" si="0"/>
        <v/>
      </c>
    </row>
    <row r="23" spans="2:7" x14ac:dyDescent="0.25">
      <c r="B23" s="40"/>
      <c r="C23" s="111" t="str">
        <f>IFERROR(IF(OR($B23="",$B23="-"),"",VLOOKUP($B23,Kostenstelle!$H$48:$I$78,2,FALSE)),"")</f>
        <v/>
      </c>
      <c r="D23" s="53"/>
      <c r="E23" s="112"/>
      <c r="F23" s="40"/>
      <c r="G23" s="130" t="str">
        <f t="shared" si="0"/>
        <v/>
      </c>
    </row>
    <row r="24" spans="2:7" x14ac:dyDescent="0.25">
      <c r="B24" s="40"/>
      <c r="C24" s="111" t="str">
        <f>IFERROR(IF(OR($B24="",$B24="-"),"",VLOOKUP($B24,Kostenstelle!$H$48:$I$78,2,FALSE)),"")</f>
        <v/>
      </c>
      <c r="D24" s="53"/>
      <c r="E24" s="112"/>
      <c r="F24" s="40"/>
      <c r="G24" s="130" t="str">
        <f t="shared" si="0"/>
        <v/>
      </c>
    </row>
    <row r="25" spans="2:7" x14ac:dyDescent="0.25">
      <c r="B25" s="40"/>
      <c r="C25" s="111" t="str">
        <f>IFERROR(IF(OR($B25="",$B25="-"),"",VLOOKUP($B25,Kostenstelle!$H$48:$I$78,2,FALSE)),"")</f>
        <v/>
      </c>
      <c r="D25" s="53"/>
      <c r="E25" s="112"/>
      <c r="F25" s="40"/>
      <c r="G25" s="130" t="str">
        <f t="shared" si="0"/>
        <v/>
      </c>
    </row>
    <row r="26" spans="2:7" x14ac:dyDescent="0.25">
      <c r="B26" s="40"/>
      <c r="C26" s="111" t="str">
        <f>IFERROR(IF(OR($B26="",$B26="-"),"",VLOOKUP($B26,Kostenstelle!$H$48:$I$78,2,FALSE)),"")</f>
        <v/>
      </c>
      <c r="D26" s="53"/>
      <c r="E26" s="112"/>
      <c r="F26" s="40"/>
      <c r="G26" s="130" t="str">
        <f t="shared" si="0"/>
        <v/>
      </c>
    </row>
    <row r="27" spans="2:7" x14ac:dyDescent="0.25">
      <c r="B27" s="40"/>
      <c r="C27" s="111" t="str">
        <f>IFERROR(IF(OR($B27="",$B27="-"),"",VLOOKUP($B27,Kostenstelle!$H$48:$I$78,2,FALSE)),"")</f>
        <v/>
      </c>
      <c r="D27" s="53"/>
      <c r="E27" s="112"/>
      <c r="F27" s="40"/>
      <c r="G27" s="130" t="str">
        <f t="shared" si="0"/>
        <v/>
      </c>
    </row>
    <row r="28" spans="2:7" x14ac:dyDescent="0.25">
      <c r="B28" s="40"/>
      <c r="C28" s="111" t="str">
        <f>IFERROR(IF(OR($B28="",$B28="-"),"",VLOOKUP($B28,Kostenstelle!$H$48:$I$78,2,FALSE)),"")</f>
        <v/>
      </c>
      <c r="D28" s="53"/>
      <c r="E28" s="112"/>
      <c r="F28" s="40"/>
      <c r="G28" s="130" t="str">
        <f t="shared" si="0"/>
        <v/>
      </c>
    </row>
    <row r="29" spans="2:7" x14ac:dyDescent="0.25">
      <c r="B29" s="40"/>
      <c r="C29" s="111" t="str">
        <f>IFERROR(IF(OR($B29="",$B29="-"),"",VLOOKUP($B29,Kostenstelle!$H$48:$I$78,2,FALSE)),"")</f>
        <v/>
      </c>
      <c r="D29" s="53"/>
      <c r="E29" s="112"/>
      <c r="F29" s="40"/>
      <c r="G29" s="130" t="str">
        <f t="shared" si="0"/>
        <v/>
      </c>
    </row>
    <row r="30" spans="2:7" x14ac:dyDescent="0.25">
      <c r="B30" s="40"/>
      <c r="C30" s="111" t="str">
        <f>IFERROR(IF(OR($B30="",$B30="-"),"",VLOOKUP($B30,Kostenstelle!$H$48:$I$78,2,FALSE)),"")</f>
        <v/>
      </c>
      <c r="D30" s="53"/>
      <c r="E30" s="112"/>
      <c r="F30" s="40"/>
      <c r="G30" s="130" t="str">
        <f t="shared" si="0"/>
        <v/>
      </c>
    </row>
    <row r="31" spans="2:7" x14ac:dyDescent="0.25">
      <c r="B31" s="40"/>
      <c r="C31" s="111" t="str">
        <f>IFERROR(IF(OR($B31="",$B31="-"),"",VLOOKUP($B31,Kostenstelle!$H$48:$I$78,2,FALSE)),"")</f>
        <v/>
      </c>
      <c r="D31" s="53"/>
      <c r="E31" s="112"/>
      <c r="F31" s="40"/>
      <c r="G31" s="130" t="str">
        <f t="shared" si="0"/>
        <v/>
      </c>
    </row>
    <row r="32" spans="2:7" x14ac:dyDescent="0.25">
      <c r="B32" s="40"/>
      <c r="C32" s="111" t="str">
        <f>IFERROR(IF(OR($B32="",$B32="-"),"",VLOOKUP($B32,Kostenstelle!$H$48:$I$78,2,FALSE)),"")</f>
        <v/>
      </c>
      <c r="D32" s="53"/>
      <c r="E32" s="112"/>
      <c r="F32" s="40"/>
      <c r="G32" s="130" t="str">
        <f t="shared" si="0"/>
        <v/>
      </c>
    </row>
    <row r="33" spans="2:7" x14ac:dyDescent="0.25">
      <c r="B33" s="40"/>
      <c r="C33" s="111" t="str">
        <f>IFERROR(IF(OR($B33="",$B33="-"),"",VLOOKUP($B33,Kostenstelle!$H$48:$I$78,2,FALSE)),"")</f>
        <v/>
      </c>
      <c r="D33" s="53"/>
      <c r="E33" s="112"/>
      <c r="F33" s="40"/>
      <c r="G33" s="130" t="str">
        <f t="shared" si="0"/>
        <v/>
      </c>
    </row>
    <row r="34" spans="2:7" x14ac:dyDescent="0.25">
      <c r="B34" s="40"/>
      <c r="C34" s="111" t="str">
        <f>IFERROR(IF(OR($B34="",$B34="-"),"",VLOOKUP($B34,Kostenstelle!$H$48:$I$78,2,FALSE)),"")</f>
        <v/>
      </c>
      <c r="D34" s="53"/>
      <c r="E34" s="112"/>
      <c r="F34" s="40"/>
      <c r="G34" s="130" t="str">
        <f t="shared" si="0"/>
        <v/>
      </c>
    </row>
    <row r="35" spans="2:7" x14ac:dyDescent="0.25">
      <c r="B35" s="40"/>
      <c r="C35" s="111" t="str">
        <f>IFERROR(IF(OR($B35="",$B35="-"),"",VLOOKUP($B35,Kostenstelle!$H$48:$I$78,2,FALSE)),"")</f>
        <v/>
      </c>
      <c r="D35" s="53"/>
      <c r="E35" s="112"/>
      <c r="F35" s="40"/>
      <c r="G35" s="130" t="str">
        <f t="shared" si="0"/>
        <v/>
      </c>
    </row>
    <row r="36" spans="2:7" x14ac:dyDescent="0.25">
      <c r="B36" s="40"/>
      <c r="C36" s="111" t="str">
        <f>IFERROR(IF(OR($B36="",$B36="-"),"",VLOOKUP($B36,Kostenstelle!$H$48:$I$78,2,FALSE)),"")</f>
        <v/>
      </c>
      <c r="D36" s="53"/>
      <c r="E36" s="112"/>
      <c r="F36" s="40"/>
      <c r="G36" s="130" t="str">
        <f t="shared" si="0"/>
        <v/>
      </c>
    </row>
    <row r="37" spans="2:7" x14ac:dyDescent="0.25">
      <c r="B37" s="40"/>
      <c r="C37" s="111" t="str">
        <f>IFERROR(IF(OR($B37="",$B37="-"),"",VLOOKUP($B37,Kostenstelle!$H$48:$I$78,2,FALSE)),"")</f>
        <v/>
      </c>
      <c r="D37" s="53"/>
      <c r="E37" s="112"/>
      <c r="F37" s="40"/>
      <c r="G37" s="130" t="str">
        <f t="shared" si="0"/>
        <v/>
      </c>
    </row>
    <row r="38" spans="2:7" x14ac:dyDescent="0.25">
      <c r="B38" s="40"/>
      <c r="C38" s="111" t="str">
        <f>IFERROR(IF(OR($B38="",$B38="-"),"",VLOOKUP($B38,Kostenstelle!$H$48:$I$78,2,FALSE)),"")</f>
        <v/>
      </c>
      <c r="D38" s="53"/>
      <c r="E38" s="112"/>
      <c r="F38" s="40"/>
      <c r="G38" s="130" t="str">
        <f t="shared" si="0"/>
        <v/>
      </c>
    </row>
    <row r="39" spans="2:7" x14ac:dyDescent="0.25">
      <c r="B39" s="40"/>
      <c r="C39" s="111" t="str">
        <f>IFERROR(IF(OR($B39="",$B39="-"),"",VLOOKUP($B39,Kostenstelle!$H$48:$I$78,2,FALSE)),"")</f>
        <v/>
      </c>
      <c r="D39" s="53"/>
      <c r="E39" s="112"/>
      <c r="F39" s="40"/>
      <c r="G39" s="130" t="str">
        <f t="shared" si="0"/>
        <v/>
      </c>
    </row>
    <row r="40" spans="2:7" x14ac:dyDescent="0.25">
      <c r="B40" s="40"/>
      <c r="C40" s="111" t="str">
        <f>IFERROR(IF(OR($B40="",$B40="-"),"",VLOOKUP($B40,Kostenstelle!$H$48:$I$78,2,FALSE)),"")</f>
        <v/>
      </c>
      <c r="D40" s="53"/>
      <c r="E40" s="112"/>
      <c r="F40" s="40"/>
      <c r="G40" s="130" t="str">
        <f t="shared" si="0"/>
        <v/>
      </c>
    </row>
    <row r="41" spans="2:7" x14ac:dyDescent="0.25">
      <c r="B41" s="40"/>
      <c r="C41" s="111" t="str">
        <f>IFERROR(IF(OR($B41="",$B41="-"),"",VLOOKUP($B41,Kostenstelle!$H$48:$I$78,2,FALSE)),"")</f>
        <v/>
      </c>
      <c r="D41" s="53"/>
      <c r="E41" s="112"/>
      <c r="F41" s="40"/>
      <c r="G41" s="130" t="str">
        <f t="shared" si="0"/>
        <v/>
      </c>
    </row>
    <row r="42" spans="2:7" x14ac:dyDescent="0.25">
      <c r="B42" s="40"/>
      <c r="C42" s="111" t="str">
        <f>IFERROR(IF(OR($B42="",$B42="-"),"",VLOOKUP($B42,Kostenstelle!$H$48:$I$78,2,FALSE)),"")</f>
        <v/>
      </c>
      <c r="D42" s="53"/>
      <c r="E42" s="112"/>
      <c r="F42" s="40"/>
      <c r="G42" s="130" t="str">
        <f t="shared" si="0"/>
        <v/>
      </c>
    </row>
    <row r="43" spans="2:7" x14ac:dyDescent="0.25">
      <c r="B43" s="40"/>
      <c r="C43" s="111" t="str">
        <f>IFERROR(IF(OR($B43="",$B43="-"),"",VLOOKUP($B43,Kostenstelle!$H$48:$I$78,2,FALSE)),"")</f>
        <v/>
      </c>
      <c r="D43" s="53"/>
      <c r="E43" s="112"/>
      <c r="F43" s="40"/>
      <c r="G43" s="130" t="str">
        <f t="shared" si="0"/>
        <v/>
      </c>
    </row>
    <row r="44" spans="2:7" x14ac:dyDescent="0.25">
      <c r="B44" s="40"/>
      <c r="C44" s="111" t="str">
        <f>IFERROR(IF(OR($B44="",$B44="-"),"",VLOOKUP($B44,Kostenstelle!$H$48:$I$78,2,FALSE)),"")</f>
        <v/>
      </c>
      <c r="D44" s="53"/>
      <c r="E44" s="112"/>
      <c r="F44" s="40"/>
      <c r="G44" s="130" t="str">
        <f t="shared" si="0"/>
        <v/>
      </c>
    </row>
    <row r="45" spans="2:7" x14ac:dyDescent="0.25">
      <c r="B45" s="40"/>
      <c r="C45" s="111" t="str">
        <f>IFERROR(IF(OR($B45="",$B45="-"),"",VLOOKUP($B45,Kostenstelle!$H$48:$I$78,2,FALSE)),"")</f>
        <v/>
      </c>
      <c r="D45" s="53"/>
      <c r="E45" s="112"/>
      <c r="F45" s="40"/>
      <c r="G45" s="130" t="str">
        <f t="shared" si="0"/>
        <v/>
      </c>
    </row>
    <row r="46" spans="2:7" x14ac:dyDescent="0.25">
      <c r="B46" s="40"/>
      <c r="C46" s="111" t="str">
        <f>IFERROR(IF(OR($B46="",$B46="-"),"",VLOOKUP($B46,Kostenstelle!$H$48:$I$78,2,FALSE)),"")</f>
        <v/>
      </c>
      <c r="D46" s="53"/>
      <c r="E46" s="112"/>
      <c r="F46" s="40"/>
      <c r="G46" s="130" t="str">
        <f t="shared" si="0"/>
        <v/>
      </c>
    </row>
    <row r="47" spans="2:7" x14ac:dyDescent="0.25">
      <c r="B47" s="40"/>
      <c r="C47" s="111" t="str">
        <f>IFERROR(IF(OR($B47="",$B47="-"),"",VLOOKUP($B47,Kostenstelle!$H$48:$I$78,2,FALSE)),"")</f>
        <v/>
      </c>
      <c r="D47" s="53"/>
      <c r="E47" s="112"/>
      <c r="F47" s="40"/>
      <c r="G47" s="130" t="str">
        <f t="shared" si="0"/>
        <v/>
      </c>
    </row>
    <row r="48" spans="2:7" x14ac:dyDescent="0.25">
      <c r="B48" s="40"/>
      <c r="C48" s="111" t="str">
        <f>IFERROR(IF(OR($B48="",$B48="-"),"",VLOOKUP($B48,Kostenstelle!$H$48:$I$78,2,FALSE)),"")</f>
        <v/>
      </c>
      <c r="D48" s="53"/>
      <c r="E48" s="112"/>
      <c r="F48" s="40"/>
      <c r="G48" s="130" t="str">
        <f t="shared" si="0"/>
        <v/>
      </c>
    </row>
    <row r="49" spans="2:7" x14ac:dyDescent="0.25">
      <c r="B49" s="40"/>
      <c r="C49" s="111" t="str">
        <f>IFERROR(IF(OR($B49="",$B49="-"),"",VLOOKUP($B49,Kostenstelle!$H$48:$I$78,2,FALSE)),"")</f>
        <v/>
      </c>
      <c r="D49" s="53"/>
      <c r="E49" s="112"/>
      <c r="F49" s="40"/>
      <c r="G49" s="130" t="str">
        <f t="shared" si="0"/>
        <v/>
      </c>
    </row>
    <row r="50" spans="2:7" x14ac:dyDescent="0.25">
      <c r="B50" s="40"/>
      <c r="C50" s="111" t="str">
        <f>IFERROR(IF(OR($B50="",$B50="-"),"",VLOOKUP($B50,Kostenstelle!$H$48:$I$78,2,FALSE)),"")</f>
        <v/>
      </c>
      <c r="D50" s="53"/>
      <c r="E50" s="112"/>
      <c r="F50" s="40"/>
      <c r="G50" s="130" t="str">
        <f t="shared" si="0"/>
        <v/>
      </c>
    </row>
    <row r="51" spans="2:7" x14ac:dyDescent="0.25">
      <c r="B51" s="40"/>
      <c r="C51" s="111" t="str">
        <f>IFERROR(IF(OR($B51="",$B51="-"),"",VLOOKUP($B51,Kostenstelle!$H$48:$I$78,2,FALSE)),"")</f>
        <v/>
      </c>
      <c r="D51" s="53"/>
      <c r="E51" s="112"/>
      <c r="F51" s="40"/>
      <c r="G51" s="130" t="str">
        <f t="shared" si="0"/>
        <v/>
      </c>
    </row>
    <row r="52" spans="2:7" x14ac:dyDescent="0.25">
      <c r="B52" s="40"/>
      <c r="C52" s="111" t="str">
        <f>IFERROR(IF(OR($B52="",$B52="-"),"",VLOOKUP($B52,Kostenstelle!$H$48:$I$78,2,FALSE)),"")</f>
        <v/>
      </c>
      <c r="D52" s="53"/>
      <c r="E52" s="112"/>
      <c r="F52" s="40"/>
      <c r="G52" s="130" t="str">
        <f t="shared" si="0"/>
        <v/>
      </c>
    </row>
  </sheetData>
  <sheetProtection algorithmName="SHA-512" hashValue="bsDa2QUP0Lc5h8j87Bjc6F4HOozfktUmWozk1q1UYaar3AtCC5LLYuc63xJagWWFEoGOLpeH2Z835D9L+Rsoaw==" saltValue="Xn3Le4vHuuTE2ZUuWgDYGg==" spinCount="100000" sheet="1" objects="1" scenarios="1"/>
  <mergeCells count="1">
    <mergeCell ref="B1:F1"/>
  </mergeCells>
  <dataValidations count="2">
    <dataValidation allowBlank="1" showInputMessage="1" showErrorMessage="1" promptTitle="Kostenstelle" prompt="Es muss die richtige Kostenstelle angegeben werden. (manuell nicht möglich)_x000a_Sollte das fragliche Referat/Projekt nicht aufgeführt sein bitte Kontakt mit FR aufnehmen." sqref="C3:C52"/>
    <dataValidation allowBlank="1" showInputMessage="1" showErrorMessage="1" promptTitle="Begründung" prompt="Bei Projekten/Referaten, die im letzten Semester nicht bestanden, bitte gut begründen." sqref="E3:E52"/>
  </dataValidations>
  <pageMargins left="0.7" right="0.7" top="0.78740157499999996" bottom="0.78740157499999996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promptTitle="Maximale Aufwandsentschädigung" prompt="Für Referate aus dem Dropdownmenü auswählen._x000a_Für Projekte gewünschten Betrag (Ordnungen beachten!) angeben.">
          <x14:formula1>
            <xm:f>'Konto &amp; Allgemein'!$B$24:$B$26</xm:f>
          </x14:formula1>
          <xm:sqref>D3:D52</xm:sqref>
        </x14:dataValidation>
        <x14:dataValidation type="list" allowBlank="1" showInputMessage="1" showErrorMessage="1" errorTitle="Projekt/Referat" error="Sollte ein Referat oder ein Projekt gegründet werden, welches hier nicht aufgeführt ist, muss zuvor Rücksprache mit dem Finanzreferenten bzw. der Geschäftsstelle gehalten werden._x000a_(Kostenstellen müssen in DATEV sein)" promptTitle="Projekt/Referat" prompt="Bitte aus Dropdown-Menü auswählen._x000a_Nach der Auswahl, den Standort nicht mehr verändern!_x000a_(Bei mehreren Standorten (z.B. HW und WF), mehrere Dateien anlegen)">
          <x14:formula1>
            <xm:f>Kostenstelle!$H$48:$H$78</xm:f>
          </x14:formula1>
          <xm:sqref>B3:B52</xm:sqref>
        </x14:dataValidation>
        <x14:dataValidation type="list" allowBlank="1" showInputMessage="1" showErrorMessage="1" errorTitle="Art des Antrags" error="Nur Auswahl aus Dropdown möglich._x000a_Ein leeres Feld entspricht einem neuen Antrag. (Keine Änderung)" promptTitle="Art des Antrags" prompt="Gründung: Wenn im aktuellen Haushaltsjahr noch nicht gegründet / von der Höhe eingruppiert._x000a__x000a_Änderung: Nur falls auf vorheriger Sitzung bereits beschlossen und nun angepasst werden soll. (Muss in DATEV eingetragen sein)">
          <x14:formula1>
            <xm:f>'Konto &amp; Allgemein'!$E$3:$E$4</xm:f>
          </x14:formula1>
          <xm:sqref>F3:F52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Norm"/>
  <dimension ref="A1:G101"/>
  <sheetViews>
    <sheetView workbookViewId="0">
      <selection activeCell="A14" sqref="A14"/>
    </sheetView>
  </sheetViews>
  <sheetFormatPr baseColWidth="10" defaultRowHeight="15" x14ac:dyDescent="0.25"/>
  <cols>
    <col min="1" max="1" width="38.5703125" customWidth="1"/>
    <col min="5" max="5" width="6.85546875" customWidth="1"/>
    <col min="6" max="6" width="26.28515625" customWidth="1"/>
    <col min="7" max="7" width="11.42578125" customWidth="1"/>
  </cols>
  <sheetData>
    <row r="1" spans="1:7" x14ac:dyDescent="0.25">
      <c r="A1" s="35" t="s">
        <v>92</v>
      </c>
      <c r="B1" s="35" t="s">
        <v>93</v>
      </c>
      <c r="C1" s="35" t="s">
        <v>94</v>
      </c>
      <c r="D1" s="36" t="s">
        <v>149</v>
      </c>
      <c r="F1" s="54" t="s">
        <v>162</v>
      </c>
      <c r="G1" s="84">
        <v>44278</v>
      </c>
    </row>
    <row r="2" spans="1:7" ht="15.75" thickBot="1" x14ac:dyDescent="0.3">
      <c r="A2" s="78" t="s">
        <v>154</v>
      </c>
      <c r="B2" s="79">
        <v>100</v>
      </c>
      <c r="C2" s="80">
        <v>1</v>
      </c>
      <c r="D2" s="85">
        <v>1</v>
      </c>
    </row>
    <row r="3" spans="1:7" x14ac:dyDescent="0.25">
      <c r="A3" s="78" t="s">
        <v>136</v>
      </c>
      <c r="B3" s="79">
        <v>50</v>
      </c>
      <c r="C3" s="80">
        <v>10</v>
      </c>
      <c r="D3" s="85">
        <v>2</v>
      </c>
      <c r="F3" s="30" t="s">
        <v>7</v>
      </c>
    </row>
    <row r="4" spans="1:7" ht="15.75" thickBot="1" x14ac:dyDescent="0.3">
      <c r="A4" s="78" t="s">
        <v>122</v>
      </c>
      <c r="B4" s="79">
        <v>200</v>
      </c>
      <c r="C4" s="80">
        <v>1</v>
      </c>
      <c r="D4" s="85">
        <v>3</v>
      </c>
      <c r="F4" s="31" t="s">
        <v>8</v>
      </c>
    </row>
    <row r="5" spans="1:7" x14ac:dyDescent="0.25">
      <c r="A5" s="78" t="s">
        <v>118</v>
      </c>
      <c r="B5" s="79">
        <v>150</v>
      </c>
      <c r="C5" s="80">
        <v>1</v>
      </c>
      <c r="D5" s="85">
        <v>4</v>
      </c>
    </row>
    <row r="6" spans="1:7" x14ac:dyDescent="0.25">
      <c r="A6" s="78" t="s">
        <v>119</v>
      </c>
      <c r="B6" s="79">
        <v>125</v>
      </c>
      <c r="C6" s="80">
        <v>1</v>
      </c>
      <c r="D6" s="85">
        <v>5</v>
      </c>
    </row>
    <row r="7" spans="1:7" x14ac:dyDescent="0.25">
      <c r="A7" s="78" t="s">
        <v>106</v>
      </c>
      <c r="B7" s="79">
        <v>50</v>
      </c>
      <c r="C7" s="80">
        <v>1</v>
      </c>
      <c r="D7" s="85">
        <v>6</v>
      </c>
    </row>
    <row r="8" spans="1:7" x14ac:dyDescent="0.25">
      <c r="A8" s="78" t="s">
        <v>117</v>
      </c>
      <c r="B8" s="79">
        <v>90</v>
      </c>
      <c r="C8" s="80">
        <v>1</v>
      </c>
      <c r="D8" s="85">
        <v>7</v>
      </c>
    </row>
    <row r="9" spans="1:7" x14ac:dyDescent="0.25">
      <c r="A9" s="78" t="s">
        <v>132</v>
      </c>
      <c r="B9" s="79">
        <v>400</v>
      </c>
      <c r="C9" s="80">
        <v>1</v>
      </c>
      <c r="D9" s="85">
        <v>8</v>
      </c>
    </row>
    <row r="10" spans="1:7" x14ac:dyDescent="0.25">
      <c r="A10" s="78" t="s">
        <v>147</v>
      </c>
      <c r="B10" s="79">
        <v>900</v>
      </c>
      <c r="C10" s="80">
        <v>1</v>
      </c>
      <c r="D10" s="85">
        <v>9</v>
      </c>
    </row>
    <row r="11" spans="1:7" x14ac:dyDescent="0.25">
      <c r="A11" s="81" t="s">
        <v>145</v>
      </c>
      <c r="B11" s="82">
        <v>75</v>
      </c>
      <c r="C11" s="80">
        <v>6</v>
      </c>
      <c r="D11" s="85">
        <v>10</v>
      </c>
    </row>
    <row r="12" spans="1:7" x14ac:dyDescent="0.25">
      <c r="A12" s="78" t="s">
        <v>135</v>
      </c>
      <c r="B12" s="79">
        <v>10</v>
      </c>
      <c r="C12" s="80">
        <v>1</v>
      </c>
      <c r="D12" s="85">
        <v>11</v>
      </c>
    </row>
    <row r="13" spans="1:7" x14ac:dyDescent="0.25">
      <c r="A13" s="78" t="s">
        <v>120</v>
      </c>
      <c r="B13" s="79">
        <v>100</v>
      </c>
      <c r="C13" s="80">
        <v>1</v>
      </c>
      <c r="D13" s="85">
        <v>12</v>
      </c>
    </row>
    <row r="14" spans="1:7" x14ac:dyDescent="0.25">
      <c r="A14" s="78" t="s">
        <v>138</v>
      </c>
      <c r="B14" s="79">
        <v>100</v>
      </c>
      <c r="C14" s="80">
        <v>1000</v>
      </c>
      <c r="D14" s="85">
        <v>13</v>
      </c>
    </row>
    <row r="15" spans="1:7" x14ac:dyDescent="0.25">
      <c r="A15" s="78" t="s">
        <v>134</v>
      </c>
      <c r="B15" s="79">
        <v>50</v>
      </c>
      <c r="C15" s="80">
        <v>1</v>
      </c>
      <c r="D15" s="85">
        <v>14</v>
      </c>
    </row>
    <row r="16" spans="1:7" x14ac:dyDescent="0.25">
      <c r="A16" s="81" t="s">
        <v>141</v>
      </c>
      <c r="B16" s="82">
        <v>350</v>
      </c>
      <c r="C16" s="80">
        <v>1</v>
      </c>
      <c r="D16" s="85">
        <v>15</v>
      </c>
    </row>
    <row r="17" spans="1:4" x14ac:dyDescent="0.25">
      <c r="A17" s="78" t="s">
        <v>125</v>
      </c>
      <c r="B17" s="79">
        <v>300</v>
      </c>
      <c r="C17" s="80">
        <v>1</v>
      </c>
      <c r="D17" s="85">
        <v>16</v>
      </c>
    </row>
    <row r="18" spans="1:4" x14ac:dyDescent="0.25">
      <c r="A18" s="78" t="s">
        <v>105</v>
      </c>
      <c r="B18" s="79">
        <v>50</v>
      </c>
      <c r="C18" s="80">
        <v>1</v>
      </c>
      <c r="D18" s="85">
        <v>17</v>
      </c>
    </row>
    <row r="19" spans="1:4" x14ac:dyDescent="0.25">
      <c r="A19" s="78" t="s">
        <v>96</v>
      </c>
      <c r="B19" s="79">
        <v>25</v>
      </c>
      <c r="C19" s="80">
        <v>1</v>
      </c>
      <c r="D19" s="85">
        <v>18</v>
      </c>
    </row>
    <row r="20" spans="1:4" x14ac:dyDescent="0.25">
      <c r="A20" s="78" t="s">
        <v>95</v>
      </c>
      <c r="B20" s="79">
        <v>25</v>
      </c>
      <c r="C20" s="80">
        <v>1</v>
      </c>
      <c r="D20" s="85">
        <v>19</v>
      </c>
    </row>
    <row r="21" spans="1:4" x14ac:dyDescent="0.25">
      <c r="A21" s="78" t="s">
        <v>100</v>
      </c>
      <c r="B21" s="79">
        <v>50</v>
      </c>
      <c r="C21" s="80">
        <v>1</v>
      </c>
      <c r="D21" s="85">
        <v>20</v>
      </c>
    </row>
    <row r="22" spans="1:4" x14ac:dyDescent="0.25">
      <c r="A22" s="81" t="s">
        <v>140</v>
      </c>
      <c r="B22" s="82">
        <v>60</v>
      </c>
      <c r="C22" s="80">
        <v>1</v>
      </c>
      <c r="D22" s="85">
        <v>21</v>
      </c>
    </row>
    <row r="23" spans="1:4" x14ac:dyDescent="0.25">
      <c r="A23" s="78" t="s">
        <v>115</v>
      </c>
      <c r="B23" s="79">
        <v>120</v>
      </c>
      <c r="C23" s="80">
        <v>1</v>
      </c>
      <c r="D23" s="85">
        <v>22</v>
      </c>
    </row>
    <row r="24" spans="1:4" x14ac:dyDescent="0.25">
      <c r="A24" s="78" t="s">
        <v>137</v>
      </c>
      <c r="B24" s="79">
        <v>500</v>
      </c>
      <c r="C24" s="80">
        <v>1</v>
      </c>
      <c r="D24" s="85">
        <v>23</v>
      </c>
    </row>
    <row r="25" spans="1:4" x14ac:dyDescent="0.25">
      <c r="A25" s="78" t="s">
        <v>133</v>
      </c>
      <c r="B25" s="79">
        <v>60</v>
      </c>
      <c r="C25" s="80">
        <v>1</v>
      </c>
      <c r="D25" s="85">
        <v>24</v>
      </c>
    </row>
    <row r="26" spans="1:4" x14ac:dyDescent="0.25">
      <c r="A26" s="78" t="s">
        <v>108</v>
      </c>
      <c r="B26" s="79">
        <v>50</v>
      </c>
      <c r="C26" s="80">
        <v>1</v>
      </c>
      <c r="D26" s="85">
        <v>25</v>
      </c>
    </row>
    <row r="27" spans="1:4" x14ac:dyDescent="0.25">
      <c r="A27" s="78" t="s">
        <v>127</v>
      </c>
      <c r="B27" s="79">
        <v>500</v>
      </c>
      <c r="C27" s="80">
        <v>1</v>
      </c>
      <c r="D27" s="85">
        <v>26</v>
      </c>
    </row>
    <row r="28" spans="1:4" x14ac:dyDescent="0.25">
      <c r="A28" s="78" t="s">
        <v>109</v>
      </c>
      <c r="B28" s="79">
        <v>50</v>
      </c>
      <c r="C28" s="80">
        <v>1</v>
      </c>
      <c r="D28" s="85">
        <v>27</v>
      </c>
    </row>
    <row r="29" spans="1:4" x14ac:dyDescent="0.25">
      <c r="A29" s="78" t="s">
        <v>107</v>
      </c>
      <c r="B29" s="79">
        <v>50</v>
      </c>
      <c r="C29" s="80">
        <v>1</v>
      </c>
      <c r="D29" s="85">
        <v>28</v>
      </c>
    </row>
    <row r="30" spans="1:4" x14ac:dyDescent="0.25">
      <c r="A30" s="78" t="s">
        <v>146</v>
      </c>
      <c r="B30" s="79">
        <v>900</v>
      </c>
      <c r="C30" s="80">
        <v>1</v>
      </c>
      <c r="D30" s="85">
        <v>29</v>
      </c>
    </row>
    <row r="31" spans="1:4" x14ac:dyDescent="0.25">
      <c r="A31" s="78" t="s">
        <v>97</v>
      </c>
      <c r="B31" s="79">
        <v>25</v>
      </c>
      <c r="C31" s="80">
        <v>1</v>
      </c>
      <c r="D31" s="85">
        <v>30</v>
      </c>
    </row>
    <row r="32" spans="1:4" x14ac:dyDescent="0.25">
      <c r="A32" s="78" t="s">
        <v>101</v>
      </c>
      <c r="B32" s="79">
        <v>30</v>
      </c>
      <c r="C32" s="80">
        <v>1</v>
      </c>
      <c r="D32" s="85">
        <v>31</v>
      </c>
    </row>
    <row r="33" spans="1:4" x14ac:dyDescent="0.25">
      <c r="A33" s="78" t="s">
        <v>114</v>
      </c>
      <c r="B33" s="79">
        <v>100</v>
      </c>
      <c r="C33" s="80">
        <v>1</v>
      </c>
      <c r="D33" s="85">
        <v>32</v>
      </c>
    </row>
    <row r="34" spans="1:4" x14ac:dyDescent="0.25">
      <c r="A34" s="78" t="s">
        <v>123</v>
      </c>
      <c r="B34" s="79">
        <v>250</v>
      </c>
      <c r="C34" s="80">
        <v>1</v>
      </c>
      <c r="D34" s="85">
        <v>33</v>
      </c>
    </row>
    <row r="35" spans="1:4" x14ac:dyDescent="0.25">
      <c r="A35" s="78" t="s">
        <v>110</v>
      </c>
      <c r="B35" s="79">
        <v>75</v>
      </c>
      <c r="C35" s="80">
        <v>1</v>
      </c>
      <c r="D35" s="85">
        <v>34</v>
      </c>
    </row>
    <row r="36" spans="1:4" x14ac:dyDescent="0.25">
      <c r="A36" s="78" t="s">
        <v>129</v>
      </c>
      <c r="B36" s="79">
        <v>900</v>
      </c>
      <c r="C36" s="80">
        <v>1</v>
      </c>
      <c r="D36" s="85">
        <v>35</v>
      </c>
    </row>
    <row r="37" spans="1:4" x14ac:dyDescent="0.25">
      <c r="A37" s="78" t="s">
        <v>128</v>
      </c>
      <c r="B37" s="79">
        <v>400</v>
      </c>
      <c r="C37" s="80">
        <v>1</v>
      </c>
      <c r="D37" s="85">
        <v>36</v>
      </c>
    </row>
    <row r="38" spans="1:4" x14ac:dyDescent="0.25">
      <c r="A38" s="81" t="s">
        <v>142</v>
      </c>
      <c r="B38" s="82">
        <v>300</v>
      </c>
      <c r="C38" s="80">
        <v>1</v>
      </c>
      <c r="D38" s="85">
        <v>37</v>
      </c>
    </row>
    <row r="39" spans="1:4" x14ac:dyDescent="0.25">
      <c r="A39" s="81" t="s">
        <v>139</v>
      </c>
      <c r="B39" s="82">
        <v>50</v>
      </c>
      <c r="C39" s="80">
        <v>1</v>
      </c>
      <c r="D39" s="85">
        <v>38</v>
      </c>
    </row>
    <row r="40" spans="1:4" x14ac:dyDescent="0.25">
      <c r="A40" s="78" t="s">
        <v>102</v>
      </c>
      <c r="B40" s="79">
        <v>50</v>
      </c>
      <c r="C40" s="80">
        <v>1</v>
      </c>
      <c r="D40" s="85">
        <v>39</v>
      </c>
    </row>
    <row r="41" spans="1:4" x14ac:dyDescent="0.25">
      <c r="A41" s="78" t="s">
        <v>98</v>
      </c>
      <c r="B41" s="79">
        <v>40</v>
      </c>
      <c r="C41" s="80">
        <v>1</v>
      </c>
      <c r="D41" s="85">
        <v>40</v>
      </c>
    </row>
    <row r="42" spans="1:4" x14ac:dyDescent="0.25">
      <c r="A42" s="78" t="s">
        <v>113</v>
      </c>
      <c r="B42" s="79">
        <v>75</v>
      </c>
      <c r="C42" s="80">
        <v>1</v>
      </c>
      <c r="D42" s="85">
        <v>41</v>
      </c>
    </row>
    <row r="43" spans="1:4" x14ac:dyDescent="0.25">
      <c r="A43" s="78" t="s">
        <v>124</v>
      </c>
      <c r="B43" s="79">
        <v>200</v>
      </c>
      <c r="C43" s="80">
        <v>1</v>
      </c>
      <c r="D43" s="85">
        <v>42</v>
      </c>
    </row>
    <row r="44" spans="1:4" x14ac:dyDescent="0.25">
      <c r="A44" s="78" t="s">
        <v>111</v>
      </c>
      <c r="B44" s="79">
        <v>75</v>
      </c>
      <c r="C44" s="80">
        <v>1</v>
      </c>
      <c r="D44" s="85">
        <v>43</v>
      </c>
    </row>
    <row r="45" spans="1:4" x14ac:dyDescent="0.25">
      <c r="A45" s="78" t="s">
        <v>121</v>
      </c>
      <c r="B45" s="79">
        <v>150</v>
      </c>
      <c r="C45" s="80">
        <v>1</v>
      </c>
      <c r="D45" s="85">
        <v>44</v>
      </c>
    </row>
    <row r="46" spans="1:4" x14ac:dyDescent="0.25">
      <c r="A46" s="81" t="s">
        <v>143</v>
      </c>
      <c r="B46" s="82">
        <v>80</v>
      </c>
      <c r="C46" s="80">
        <v>1</v>
      </c>
      <c r="D46" s="85">
        <v>45</v>
      </c>
    </row>
    <row r="47" spans="1:4" x14ac:dyDescent="0.25">
      <c r="A47" s="78" t="s">
        <v>130</v>
      </c>
      <c r="B47" s="79">
        <v>650</v>
      </c>
      <c r="C47" s="80">
        <v>1</v>
      </c>
      <c r="D47" s="85">
        <v>46</v>
      </c>
    </row>
    <row r="48" spans="1:4" x14ac:dyDescent="0.25">
      <c r="A48" s="78" t="s">
        <v>103</v>
      </c>
      <c r="B48" s="79">
        <v>50</v>
      </c>
      <c r="C48" s="80">
        <v>1</v>
      </c>
      <c r="D48" s="85">
        <v>47</v>
      </c>
    </row>
    <row r="49" spans="1:4" x14ac:dyDescent="0.25">
      <c r="A49" s="78" t="s">
        <v>126</v>
      </c>
      <c r="B49" s="79">
        <v>300</v>
      </c>
      <c r="C49" s="80">
        <v>1</v>
      </c>
      <c r="D49" s="85">
        <v>48</v>
      </c>
    </row>
    <row r="50" spans="1:4" x14ac:dyDescent="0.25">
      <c r="A50" s="78" t="s">
        <v>99</v>
      </c>
      <c r="B50" s="79">
        <v>30</v>
      </c>
      <c r="C50" s="80">
        <v>1</v>
      </c>
      <c r="D50" s="85">
        <v>49</v>
      </c>
    </row>
    <row r="51" spans="1:4" x14ac:dyDescent="0.25">
      <c r="A51" s="78" t="s">
        <v>112</v>
      </c>
      <c r="B51" s="79">
        <v>75</v>
      </c>
      <c r="C51" s="80">
        <v>1</v>
      </c>
      <c r="D51" s="85">
        <v>50</v>
      </c>
    </row>
    <row r="52" spans="1:4" x14ac:dyDescent="0.25">
      <c r="A52" s="81" t="s">
        <v>144</v>
      </c>
      <c r="B52" s="82">
        <v>20</v>
      </c>
      <c r="C52" s="80">
        <v>1</v>
      </c>
      <c r="D52" s="85">
        <v>51</v>
      </c>
    </row>
    <row r="53" spans="1:4" x14ac:dyDescent="0.25">
      <c r="A53" s="78" t="s">
        <v>104</v>
      </c>
      <c r="B53" s="79">
        <v>50</v>
      </c>
      <c r="C53" s="80">
        <v>1</v>
      </c>
      <c r="D53" s="85">
        <v>52</v>
      </c>
    </row>
    <row r="54" spans="1:4" x14ac:dyDescent="0.25">
      <c r="A54" s="78" t="s">
        <v>116</v>
      </c>
      <c r="B54" s="79">
        <v>100</v>
      </c>
      <c r="C54" s="80">
        <v>1</v>
      </c>
      <c r="D54" s="85">
        <v>53</v>
      </c>
    </row>
    <row r="55" spans="1:4" x14ac:dyDescent="0.25">
      <c r="A55" s="78" t="s">
        <v>131</v>
      </c>
      <c r="B55" s="79">
        <v>20</v>
      </c>
      <c r="C55" s="80">
        <v>500</v>
      </c>
      <c r="D55" s="85">
        <v>54</v>
      </c>
    </row>
    <row r="56" spans="1:4" x14ac:dyDescent="0.25">
      <c r="A56" s="83"/>
      <c r="B56" s="83"/>
      <c r="C56" s="83"/>
      <c r="D56" s="85">
        <v>55</v>
      </c>
    </row>
    <row r="57" spans="1:4" x14ac:dyDescent="0.25">
      <c r="A57" s="83"/>
      <c r="B57" s="83"/>
      <c r="C57" s="83"/>
      <c r="D57" s="85">
        <v>56</v>
      </c>
    </row>
    <row r="58" spans="1:4" x14ac:dyDescent="0.25">
      <c r="A58" s="83"/>
      <c r="B58" s="83"/>
      <c r="C58" s="83"/>
      <c r="D58" s="85">
        <v>57</v>
      </c>
    </row>
    <row r="59" spans="1:4" x14ac:dyDescent="0.25">
      <c r="A59" s="83"/>
      <c r="B59" s="83"/>
      <c r="C59" s="83"/>
      <c r="D59" s="85">
        <v>58</v>
      </c>
    </row>
    <row r="60" spans="1:4" x14ac:dyDescent="0.25">
      <c r="A60" s="83"/>
      <c r="B60" s="83"/>
      <c r="C60" s="83"/>
      <c r="D60" s="85">
        <v>59</v>
      </c>
    </row>
    <row r="61" spans="1:4" x14ac:dyDescent="0.25">
      <c r="A61" s="83"/>
      <c r="B61" s="83"/>
      <c r="C61" s="83"/>
      <c r="D61" s="85">
        <v>60</v>
      </c>
    </row>
    <row r="62" spans="1:4" x14ac:dyDescent="0.25">
      <c r="A62" s="83"/>
      <c r="B62" s="83"/>
      <c r="C62" s="83"/>
      <c r="D62" s="85">
        <v>61</v>
      </c>
    </row>
    <row r="63" spans="1:4" x14ac:dyDescent="0.25">
      <c r="A63" s="83"/>
      <c r="B63" s="83"/>
      <c r="C63" s="83"/>
      <c r="D63" s="85">
        <v>62</v>
      </c>
    </row>
    <row r="64" spans="1:4" x14ac:dyDescent="0.25">
      <c r="A64" s="83"/>
      <c r="B64" s="83"/>
      <c r="C64" s="83"/>
      <c r="D64" s="85">
        <v>63</v>
      </c>
    </row>
    <row r="65" spans="1:4" x14ac:dyDescent="0.25">
      <c r="A65" s="83"/>
      <c r="B65" s="83"/>
      <c r="C65" s="83"/>
      <c r="D65" s="85">
        <v>64</v>
      </c>
    </row>
    <row r="66" spans="1:4" x14ac:dyDescent="0.25">
      <c r="A66" s="83"/>
      <c r="B66" s="83"/>
      <c r="C66" s="83"/>
      <c r="D66" s="85">
        <v>65</v>
      </c>
    </row>
    <row r="67" spans="1:4" x14ac:dyDescent="0.25">
      <c r="A67" s="83"/>
      <c r="B67" s="83"/>
      <c r="C67" s="83"/>
      <c r="D67" s="85">
        <v>66</v>
      </c>
    </row>
    <row r="68" spans="1:4" x14ac:dyDescent="0.25">
      <c r="A68" s="83"/>
      <c r="B68" s="83"/>
      <c r="C68" s="83"/>
      <c r="D68" s="85">
        <v>67</v>
      </c>
    </row>
    <row r="69" spans="1:4" x14ac:dyDescent="0.25">
      <c r="A69" s="83"/>
      <c r="B69" s="83"/>
      <c r="C69" s="83"/>
      <c r="D69" s="85">
        <v>68</v>
      </c>
    </row>
    <row r="70" spans="1:4" x14ac:dyDescent="0.25">
      <c r="A70" s="83"/>
      <c r="B70" s="83"/>
      <c r="C70" s="83"/>
      <c r="D70" s="85">
        <v>69</v>
      </c>
    </row>
    <row r="71" spans="1:4" x14ac:dyDescent="0.25">
      <c r="A71" s="83"/>
      <c r="B71" s="83"/>
      <c r="C71" s="83"/>
      <c r="D71" s="85">
        <v>70</v>
      </c>
    </row>
    <row r="72" spans="1:4" x14ac:dyDescent="0.25">
      <c r="A72" s="83"/>
      <c r="B72" s="83"/>
      <c r="C72" s="83"/>
      <c r="D72" s="85">
        <v>71</v>
      </c>
    </row>
    <row r="73" spans="1:4" x14ac:dyDescent="0.25">
      <c r="A73" s="83"/>
      <c r="B73" s="83"/>
      <c r="C73" s="83"/>
      <c r="D73" s="85">
        <v>72</v>
      </c>
    </row>
    <row r="74" spans="1:4" x14ac:dyDescent="0.25">
      <c r="A74" s="83"/>
      <c r="B74" s="83"/>
      <c r="C74" s="83"/>
      <c r="D74" s="85">
        <v>73</v>
      </c>
    </row>
    <row r="75" spans="1:4" x14ac:dyDescent="0.25">
      <c r="A75" s="83"/>
      <c r="B75" s="83"/>
      <c r="C75" s="83"/>
      <c r="D75" s="85">
        <v>74</v>
      </c>
    </row>
    <row r="76" spans="1:4" x14ac:dyDescent="0.25">
      <c r="A76" s="83"/>
      <c r="B76" s="83"/>
      <c r="C76" s="83"/>
      <c r="D76" s="85">
        <v>75</v>
      </c>
    </row>
    <row r="77" spans="1:4" x14ac:dyDescent="0.25">
      <c r="A77" s="83"/>
      <c r="B77" s="83"/>
      <c r="C77" s="83"/>
      <c r="D77" s="85">
        <v>76</v>
      </c>
    </row>
    <row r="78" spans="1:4" x14ac:dyDescent="0.25">
      <c r="A78" s="83"/>
      <c r="B78" s="83"/>
      <c r="C78" s="83"/>
      <c r="D78" s="85">
        <v>77</v>
      </c>
    </row>
    <row r="79" spans="1:4" x14ac:dyDescent="0.25">
      <c r="A79" s="83"/>
      <c r="B79" s="83"/>
      <c r="C79" s="83"/>
      <c r="D79" s="85">
        <v>78</v>
      </c>
    </row>
    <row r="80" spans="1:4" x14ac:dyDescent="0.25">
      <c r="A80" s="83"/>
      <c r="B80" s="83"/>
      <c r="C80" s="83"/>
      <c r="D80" s="85">
        <v>79</v>
      </c>
    </row>
    <row r="81" spans="1:4" x14ac:dyDescent="0.25">
      <c r="A81" s="83"/>
      <c r="B81" s="83"/>
      <c r="C81" s="83"/>
      <c r="D81" s="85">
        <v>80</v>
      </c>
    </row>
    <row r="82" spans="1:4" x14ac:dyDescent="0.25">
      <c r="A82" s="83"/>
      <c r="B82" s="83"/>
      <c r="C82" s="83"/>
      <c r="D82" s="85">
        <v>81</v>
      </c>
    </row>
    <row r="83" spans="1:4" x14ac:dyDescent="0.25">
      <c r="A83" s="83"/>
      <c r="B83" s="83"/>
      <c r="C83" s="83"/>
      <c r="D83" s="85">
        <v>82</v>
      </c>
    </row>
    <row r="84" spans="1:4" x14ac:dyDescent="0.25">
      <c r="A84" s="83"/>
      <c r="B84" s="83"/>
      <c r="C84" s="83"/>
      <c r="D84" s="85">
        <v>83</v>
      </c>
    </row>
    <row r="85" spans="1:4" x14ac:dyDescent="0.25">
      <c r="A85" s="83"/>
      <c r="B85" s="83"/>
      <c r="C85" s="83"/>
      <c r="D85" s="85">
        <v>84</v>
      </c>
    </row>
    <row r="86" spans="1:4" x14ac:dyDescent="0.25">
      <c r="A86" s="83"/>
      <c r="B86" s="83"/>
      <c r="C86" s="83"/>
      <c r="D86" s="85">
        <v>85</v>
      </c>
    </row>
    <row r="87" spans="1:4" x14ac:dyDescent="0.25">
      <c r="A87" s="83"/>
      <c r="B87" s="83"/>
      <c r="C87" s="83"/>
      <c r="D87" s="85">
        <v>86</v>
      </c>
    </row>
    <row r="88" spans="1:4" x14ac:dyDescent="0.25">
      <c r="A88" s="83"/>
      <c r="B88" s="83"/>
      <c r="C88" s="83"/>
      <c r="D88" s="85">
        <v>87</v>
      </c>
    </row>
    <row r="89" spans="1:4" x14ac:dyDescent="0.25">
      <c r="A89" s="83"/>
      <c r="B89" s="83"/>
      <c r="C89" s="83"/>
      <c r="D89" s="85">
        <v>88</v>
      </c>
    </row>
    <row r="90" spans="1:4" x14ac:dyDescent="0.25">
      <c r="A90" s="83"/>
      <c r="B90" s="83"/>
      <c r="C90" s="83"/>
      <c r="D90" s="85">
        <v>89</v>
      </c>
    </row>
    <row r="91" spans="1:4" x14ac:dyDescent="0.25">
      <c r="A91" s="83"/>
      <c r="B91" s="83"/>
      <c r="C91" s="83"/>
      <c r="D91" s="85">
        <v>90</v>
      </c>
    </row>
    <row r="92" spans="1:4" x14ac:dyDescent="0.25">
      <c r="A92" s="83"/>
      <c r="B92" s="83"/>
      <c r="C92" s="83"/>
      <c r="D92" s="85">
        <v>91</v>
      </c>
    </row>
    <row r="93" spans="1:4" x14ac:dyDescent="0.25">
      <c r="A93" s="83"/>
      <c r="B93" s="83"/>
      <c r="C93" s="83"/>
      <c r="D93" s="85">
        <v>92</v>
      </c>
    </row>
    <row r="94" spans="1:4" x14ac:dyDescent="0.25">
      <c r="A94" s="83"/>
      <c r="B94" s="83"/>
      <c r="C94" s="83"/>
      <c r="D94" s="85">
        <v>93</v>
      </c>
    </row>
    <row r="95" spans="1:4" x14ac:dyDescent="0.25">
      <c r="A95" s="83"/>
      <c r="B95" s="83"/>
      <c r="C95" s="83"/>
      <c r="D95" s="85">
        <v>94</v>
      </c>
    </row>
    <row r="96" spans="1:4" x14ac:dyDescent="0.25">
      <c r="A96" s="83"/>
      <c r="B96" s="83"/>
      <c r="C96" s="83"/>
      <c r="D96" s="85">
        <v>95</v>
      </c>
    </row>
    <row r="97" spans="1:4" x14ac:dyDescent="0.25">
      <c r="A97" s="83"/>
      <c r="B97" s="83"/>
      <c r="C97" s="83"/>
      <c r="D97" s="85">
        <v>96</v>
      </c>
    </row>
    <row r="98" spans="1:4" x14ac:dyDescent="0.25">
      <c r="A98" s="83"/>
      <c r="B98" s="83"/>
      <c r="C98" s="83"/>
      <c r="D98" s="85">
        <v>97</v>
      </c>
    </row>
    <row r="99" spans="1:4" x14ac:dyDescent="0.25">
      <c r="A99" s="83"/>
      <c r="B99" s="83"/>
      <c r="C99" s="83"/>
      <c r="D99" s="85">
        <v>98</v>
      </c>
    </row>
    <row r="100" spans="1:4" x14ac:dyDescent="0.25">
      <c r="A100" s="83"/>
      <c r="B100" s="83"/>
      <c r="C100" s="83"/>
      <c r="D100" s="85">
        <v>99</v>
      </c>
    </row>
    <row r="101" spans="1:4" x14ac:dyDescent="0.25">
      <c r="A101" s="83"/>
      <c r="B101" s="83"/>
      <c r="C101" s="83"/>
      <c r="D101" s="85">
        <v>100</v>
      </c>
    </row>
  </sheetData>
  <sortState ref="A2:C57">
    <sortCondition ref="A2:A57"/>
  </sortState>
  <dataValidations count="1">
    <dataValidation allowBlank="1" showInputMessage="1" showErrorMessage="1" promptTitle="Version" prompt="Ein beliebiges Datum im Datumsformat._x000a_Es kann später beim Zusammenführen ein Datum definiert werden, sodass alle älteren Versionen identifiziert werden." sqref="G1"/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Kst">
    <pageSetUpPr fitToPage="1"/>
  </sheetPr>
  <dimension ref="A1:Q83"/>
  <sheetViews>
    <sheetView workbookViewId="0">
      <selection activeCell="B5" sqref="B5"/>
    </sheetView>
  </sheetViews>
  <sheetFormatPr baseColWidth="10" defaultRowHeight="15" x14ac:dyDescent="0.25"/>
  <cols>
    <col min="1" max="1" width="10.28515625" style="13" customWidth="1"/>
    <col min="2" max="2" width="25.5703125" style="13" customWidth="1"/>
    <col min="3" max="3" width="5.140625" style="13" customWidth="1"/>
    <col min="4" max="4" width="28.5703125" style="13" bestFit="1" customWidth="1"/>
    <col min="5" max="5" width="6.42578125" style="14" customWidth="1"/>
    <col min="6" max="6" width="4.28515625" style="14" customWidth="1"/>
    <col min="7" max="7" width="4.5703125" style="13" customWidth="1"/>
    <col min="8" max="11" width="17" style="13" customWidth="1"/>
    <col min="12" max="12" width="20.85546875" style="13" customWidth="1"/>
    <col min="13" max="16" width="6.28515625" style="14" customWidth="1"/>
    <col min="17" max="17" width="6.5703125" style="13" customWidth="1"/>
    <col min="18" max="16384" width="11.42578125" style="13"/>
  </cols>
  <sheetData>
    <row r="1" spans="1:17" ht="18.75" customHeight="1" x14ac:dyDescent="0.25">
      <c r="A1" s="150" t="s">
        <v>207</v>
      </c>
      <c r="B1" s="151"/>
      <c r="C1" s="147" t="s">
        <v>185</v>
      </c>
      <c r="D1" s="148"/>
      <c r="E1" s="148"/>
      <c r="F1" s="148"/>
      <c r="G1" s="148"/>
      <c r="H1" s="148"/>
      <c r="I1" s="148"/>
      <c r="J1" s="148"/>
      <c r="K1" s="148"/>
      <c r="L1" s="149"/>
      <c r="M1" s="14" t="s">
        <v>61</v>
      </c>
      <c r="N1" s="14" t="s">
        <v>62</v>
      </c>
      <c r="O1" s="14" t="s">
        <v>63</v>
      </c>
      <c r="P1" s="14" t="s">
        <v>64</v>
      </c>
      <c r="Q1" s="14" t="s">
        <v>65</v>
      </c>
    </row>
    <row r="2" spans="1:17" ht="12.75" customHeight="1" thickBot="1" x14ac:dyDescent="0.3">
      <c r="B2" s="13" t="s">
        <v>83</v>
      </c>
      <c r="D2" s="16" t="s">
        <v>67</v>
      </c>
      <c r="E2" s="4"/>
      <c r="F2" s="17"/>
      <c r="G2" s="115"/>
      <c r="H2" s="21" t="str">
        <f>B14</f>
        <v>Wolfenbüttel</v>
      </c>
      <c r="I2" s="21" t="str">
        <f>B15</f>
        <v>Salzgitter</v>
      </c>
      <c r="J2" s="21" t="str">
        <f>B16</f>
        <v>Wolfsburg</v>
      </c>
      <c r="K2" s="21" t="str">
        <f>B17</f>
        <v>Suderburg</v>
      </c>
      <c r="L2" s="21" t="str">
        <f>B18</f>
        <v>sonst./überg.</v>
      </c>
      <c r="M2" s="153" t="s">
        <v>53</v>
      </c>
      <c r="N2" s="153"/>
      <c r="O2" s="153"/>
      <c r="P2" s="153"/>
      <c r="Q2" s="153"/>
    </row>
    <row r="3" spans="1:17" ht="12.75" customHeight="1" x14ac:dyDescent="0.25">
      <c r="B3" s="30" t="s">
        <v>7</v>
      </c>
      <c r="D3" s="70" t="str">
        <f t="shared" ref="D3:E17" ca="1" si="0">OFFSET(D21,($B$9-1)*16,0)</f>
        <v>AStA-Vorstand</v>
      </c>
      <c r="E3" s="71">
        <f t="shared" ca="1" si="0"/>
        <v>510</v>
      </c>
      <c r="F3" s="4"/>
      <c r="G3" s="154" t="str">
        <f>D20</f>
        <v>Fachschaft</v>
      </c>
      <c r="H3" s="116" t="s">
        <v>22</v>
      </c>
      <c r="I3" s="116" t="s">
        <v>21</v>
      </c>
      <c r="J3" s="116" t="s">
        <v>29</v>
      </c>
      <c r="K3" s="116" t="s">
        <v>19</v>
      </c>
      <c r="L3" s="116" t="s">
        <v>52</v>
      </c>
      <c r="M3" s="55">
        <v>161</v>
      </c>
      <c r="N3" s="56">
        <v>261</v>
      </c>
      <c r="O3" s="56">
        <v>361</v>
      </c>
      <c r="P3" s="56">
        <v>461</v>
      </c>
      <c r="Q3" s="57"/>
    </row>
    <row r="4" spans="1:17" ht="12.75" customHeight="1" thickBot="1" x14ac:dyDescent="0.3">
      <c r="B4" s="31" t="s">
        <v>8</v>
      </c>
      <c r="D4" s="72" t="str">
        <f t="shared" ca="1" si="0"/>
        <v>StuPa-Präsidium (HW)</v>
      </c>
      <c r="E4" s="73">
        <f t="shared" ca="1" si="0"/>
        <v>554</v>
      </c>
      <c r="F4" s="4"/>
      <c r="G4" s="154"/>
      <c r="H4" s="117" t="s">
        <v>23</v>
      </c>
      <c r="I4" s="117" t="s">
        <v>52</v>
      </c>
      <c r="J4" s="117" t="s">
        <v>30</v>
      </c>
      <c r="K4" s="117" t="s">
        <v>20</v>
      </c>
      <c r="L4" s="117" t="s">
        <v>52</v>
      </c>
      <c r="M4" s="58">
        <v>162</v>
      </c>
      <c r="N4" s="59"/>
      <c r="O4" s="59">
        <v>362</v>
      </c>
      <c r="P4" s="59">
        <v>462</v>
      </c>
      <c r="Q4" s="60"/>
    </row>
    <row r="5" spans="1:17" ht="12.75" customHeight="1" x14ac:dyDescent="0.25">
      <c r="A5" s="15" t="s">
        <v>158</v>
      </c>
      <c r="B5" s="87">
        <v>9</v>
      </c>
      <c r="D5" s="72" t="str">
        <f ca="1">OFFSET(D23,($B$9-1)*16,0)</f>
        <v>Geschäftsstelle (HW)</v>
      </c>
      <c r="E5" s="73">
        <f t="shared" ca="1" si="0"/>
        <v>555</v>
      </c>
      <c r="F5" s="4"/>
      <c r="G5" s="154"/>
      <c r="H5" s="117" t="s">
        <v>24</v>
      </c>
      <c r="I5" s="117" t="s">
        <v>52</v>
      </c>
      <c r="J5" s="117" t="s">
        <v>31</v>
      </c>
      <c r="K5" s="117" t="s">
        <v>52</v>
      </c>
      <c r="L5" s="117" t="s">
        <v>52</v>
      </c>
      <c r="M5" s="58">
        <v>163</v>
      </c>
      <c r="N5" s="59"/>
      <c r="O5" s="59">
        <v>363</v>
      </c>
      <c r="P5" s="59"/>
      <c r="Q5" s="60"/>
    </row>
    <row r="6" spans="1:17" ht="12.75" customHeight="1" x14ac:dyDescent="0.25">
      <c r="D6" s="72" t="str">
        <f t="shared" ca="1" si="0"/>
        <v>Externer Antragsteller</v>
      </c>
      <c r="E6" s="73">
        <f t="shared" ca="1" si="0"/>
        <v>500</v>
      </c>
      <c r="F6" s="4"/>
      <c r="G6" s="154"/>
      <c r="H6" s="117" t="s">
        <v>25</v>
      </c>
      <c r="I6" s="117" t="s">
        <v>52</v>
      </c>
      <c r="J6" s="117" t="s">
        <v>52</v>
      </c>
      <c r="K6" s="117" t="s">
        <v>52</v>
      </c>
      <c r="L6" s="117" t="s">
        <v>52</v>
      </c>
      <c r="M6" s="58">
        <v>164</v>
      </c>
      <c r="N6" s="59"/>
      <c r="O6" s="59"/>
      <c r="P6" s="59"/>
      <c r="Q6" s="60"/>
    </row>
    <row r="7" spans="1:17" ht="12.75" customHeight="1" x14ac:dyDescent="0.25">
      <c r="A7" s="15"/>
      <c r="B7" s="10" t="s">
        <v>66</v>
      </c>
      <c r="D7" s="72" t="str">
        <f t="shared" ca="1" si="0"/>
        <v>-</v>
      </c>
      <c r="E7" s="73">
        <f t="shared" ca="1" si="0"/>
        <v>0</v>
      </c>
      <c r="F7" s="4"/>
      <c r="G7" s="154"/>
      <c r="H7" s="118" t="s">
        <v>26</v>
      </c>
      <c r="I7" s="118" t="s">
        <v>52</v>
      </c>
      <c r="J7" s="118" t="s">
        <v>52</v>
      </c>
      <c r="K7" s="118" t="s">
        <v>52</v>
      </c>
      <c r="L7" s="118" t="s">
        <v>52</v>
      </c>
      <c r="M7" s="58">
        <v>165</v>
      </c>
      <c r="N7" s="59"/>
      <c r="O7" s="59"/>
      <c r="P7" s="59"/>
      <c r="Q7" s="60"/>
    </row>
    <row r="8" spans="1:17" ht="12.75" customHeight="1" x14ac:dyDescent="0.25">
      <c r="A8" s="15" t="s">
        <v>6</v>
      </c>
      <c r="B8" s="96">
        <v>5</v>
      </c>
      <c r="D8" s="72" t="str">
        <f t="shared" ca="1" si="0"/>
        <v>-</v>
      </c>
      <c r="E8" s="73">
        <f t="shared" ca="1" si="0"/>
        <v>0</v>
      </c>
      <c r="F8" s="4"/>
      <c r="G8" s="154"/>
      <c r="H8" s="117" t="s">
        <v>27</v>
      </c>
      <c r="I8" s="117" t="s">
        <v>52</v>
      </c>
      <c r="J8" s="118" t="s">
        <v>52</v>
      </c>
      <c r="K8" s="118" t="s">
        <v>52</v>
      </c>
      <c r="L8" s="117" t="s">
        <v>52</v>
      </c>
      <c r="M8" s="58">
        <v>166</v>
      </c>
      <c r="N8" s="59"/>
      <c r="O8" s="59"/>
      <c r="P8" s="59"/>
      <c r="Q8" s="60"/>
    </row>
    <row r="9" spans="1:17" ht="12.75" customHeight="1" x14ac:dyDescent="0.25">
      <c r="A9" s="15" t="s">
        <v>4</v>
      </c>
      <c r="B9" s="97">
        <v>4</v>
      </c>
      <c r="D9" s="72" t="str">
        <f t="shared" ca="1" si="0"/>
        <v>-</v>
      </c>
      <c r="E9" s="73">
        <f t="shared" ca="1" si="0"/>
        <v>0</v>
      </c>
      <c r="F9" s="4"/>
      <c r="G9" s="154"/>
      <c r="H9" s="117" t="s">
        <v>52</v>
      </c>
      <c r="I9" s="117" t="s">
        <v>52</v>
      </c>
      <c r="J9" s="117" t="s">
        <v>52</v>
      </c>
      <c r="K9" s="117" t="s">
        <v>52</v>
      </c>
      <c r="L9" s="117" t="s">
        <v>52</v>
      </c>
      <c r="M9" s="58"/>
      <c r="N9" s="59"/>
      <c r="O9" s="59"/>
      <c r="P9" s="59"/>
      <c r="Q9" s="60"/>
    </row>
    <row r="10" spans="1:17" ht="12.75" customHeight="1" x14ac:dyDescent="0.25">
      <c r="A10" s="15" t="s">
        <v>60</v>
      </c>
      <c r="B10" s="97">
        <v>4</v>
      </c>
      <c r="D10" s="72" t="str">
        <f t="shared" ca="1" si="0"/>
        <v>-</v>
      </c>
      <c r="E10" s="73">
        <f t="shared" ca="1" si="0"/>
        <v>0</v>
      </c>
      <c r="F10" s="4"/>
      <c r="G10" s="154"/>
      <c r="H10" s="118" t="s">
        <v>52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58"/>
      <c r="N10" s="59"/>
      <c r="O10" s="59"/>
      <c r="P10" s="59"/>
      <c r="Q10" s="60"/>
    </row>
    <row r="11" spans="1:17" ht="12.75" customHeight="1" x14ac:dyDescent="0.25">
      <c r="A11" s="15" t="s">
        <v>36</v>
      </c>
      <c r="B11" s="98">
        <v>5</v>
      </c>
      <c r="D11" s="72" t="str">
        <f t="shared" ca="1" si="0"/>
        <v>-</v>
      </c>
      <c r="E11" s="73">
        <f t="shared" ca="1" si="0"/>
        <v>0</v>
      </c>
      <c r="F11" s="4"/>
      <c r="G11" s="154"/>
      <c r="H11" s="119" t="s">
        <v>52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61"/>
      <c r="N11" s="62"/>
      <c r="O11" s="62"/>
      <c r="P11" s="62"/>
      <c r="Q11" s="63"/>
    </row>
    <row r="12" spans="1:17" ht="12.75" customHeight="1" x14ac:dyDescent="0.25">
      <c r="D12" s="72" t="str">
        <f t="shared" ca="1" si="0"/>
        <v>-</v>
      </c>
      <c r="E12" s="73">
        <f t="shared" ca="1" si="0"/>
        <v>0</v>
      </c>
      <c r="F12" s="4"/>
      <c r="G12" s="120"/>
      <c r="H12" s="115"/>
      <c r="I12" s="115"/>
      <c r="J12" s="115"/>
      <c r="K12" s="115"/>
      <c r="L12" s="115"/>
    </row>
    <row r="13" spans="1:17" ht="12.75" customHeight="1" x14ac:dyDescent="0.25">
      <c r="B13" s="18" t="s">
        <v>182</v>
      </c>
      <c r="D13" s="72" t="str">
        <f t="shared" ca="1" si="0"/>
        <v>-</v>
      </c>
      <c r="E13" s="73">
        <f t="shared" ca="1" si="0"/>
        <v>0</v>
      </c>
      <c r="F13" s="4"/>
      <c r="G13" s="120"/>
      <c r="H13" s="21" t="str">
        <f>H2</f>
        <v>Wolfenbüttel</v>
      </c>
      <c r="I13" s="21" t="str">
        <f>I2</f>
        <v>Salzgitter</v>
      </c>
      <c r="J13" s="21" t="str">
        <f>J2</f>
        <v>Wolfsburg</v>
      </c>
      <c r="K13" s="21" t="str">
        <f>K2</f>
        <v>Suderburg</v>
      </c>
      <c r="L13" s="21" t="str">
        <f>L2</f>
        <v>sonst./überg.</v>
      </c>
      <c r="M13" s="153" t="s">
        <v>53</v>
      </c>
      <c r="N13" s="153"/>
      <c r="O13" s="153"/>
      <c r="P13" s="153"/>
      <c r="Q13" s="153"/>
    </row>
    <row r="14" spans="1:17" ht="12.75" customHeight="1" x14ac:dyDescent="0.25">
      <c r="B14" s="67" t="s">
        <v>14</v>
      </c>
      <c r="D14" s="72" t="str">
        <f t="shared" ca="1" si="0"/>
        <v>-</v>
      </c>
      <c r="E14" s="73">
        <f t="shared" ca="1" si="0"/>
        <v>0</v>
      </c>
      <c r="F14" s="4"/>
      <c r="G14" s="152" t="str">
        <f>D36</f>
        <v>Referat</v>
      </c>
      <c r="H14" s="116" t="s">
        <v>18</v>
      </c>
      <c r="I14" s="116" t="s">
        <v>18</v>
      </c>
      <c r="J14" s="116" t="s">
        <v>18</v>
      </c>
      <c r="K14" s="116" t="s">
        <v>18</v>
      </c>
      <c r="L14" s="116" t="s">
        <v>18</v>
      </c>
      <c r="M14" s="132">
        <v>121</v>
      </c>
      <c r="N14" s="56">
        <v>221</v>
      </c>
      <c r="O14" s="56">
        <v>321</v>
      </c>
      <c r="P14" s="56">
        <v>421</v>
      </c>
      <c r="Q14" s="57">
        <v>521</v>
      </c>
    </row>
    <row r="15" spans="1:17" ht="12.75" customHeight="1" x14ac:dyDescent="0.25">
      <c r="B15" s="68" t="s">
        <v>13</v>
      </c>
      <c r="D15" s="72" t="str">
        <f t="shared" ca="1" si="0"/>
        <v>-</v>
      </c>
      <c r="E15" s="73">
        <f t="shared" ca="1" si="0"/>
        <v>0</v>
      </c>
      <c r="F15" s="4"/>
      <c r="G15" s="152"/>
      <c r="H15" s="117" t="s">
        <v>37</v>
      </c>
      <c r="I15" s="117" t="s">
        <v>37</v>
      </c>
      <c r="J15" s="117" t="s">
        <v>37</v>
      </c>
      <c r="K15" s="117" t="s">
        <v>37</v>
      </c>
      <c r="L15" s="117" t="s">
        <v>37</v>
      </c>
      <c r="M15" s="133">
        <v>122</v>
      </c>
      <c r="N15" s="59">
        <v>222</v>
      </c>
      <c r="O15" s="59">
        <v>322</v>
      </c>
      <c r="P15" s="59">
        <v>422</v>
      </c>
      <c r="Q15" s="60">
        <v>522</v>
      </c>
    </row>
    <row r="16" spans="1:17" ht="12.75" customHeight="1" x14ac:dyDescent="0.25">
      <c r="B16" s="68" t="s">
        <v>15</v>
      </c>
      <c r="D16" s="72" t="str">
        <f t="shared" ca="1" si="0"/>
        <v>-</v>
      </c>
      <c r="E16" s="73">
        <f t="shared" ca="1" si="0"/>
        <v>0</v>
      </c>
      <c r="F16" s="4"/>
      <c r="G16" s="152"/>
      <c r="H16" s="117" t="s">
        <v>38</v>
      </c>
      <c r="I16" s="117" t="s">
        <v>38</v>
      </c>
      <c r="J16" s="117" t="s">
        <v>38</v>
      </c>
      <c r="K16" s="117" t="s">
        <v>38</v>
      </c>
      <c r="L16" s="117" t="s">
        <v>42</v>
      </c>
      <c r="M16" s="133">
        <v>123</v>
      </c>
      <c r="N16" s="59">
        <v>223</v>
      </c>
      <c r="O16" s="59">
        <v>323</v>
      </c>
      <c r="P16" s="59">
        <v>423</v>
      </c>
      <c r="Q16" s="60">
        <v>528</v>
      </c>
    </row>
    <row r="17" spans="2:17" ht="12.75" customHeight="1" x14ac:dyDescent="0.25">
      <c r="B17" s="68" t="s">
        <v>12</v>
      </c>
      <c r="D17" s="74" t="str">
        <f t="shared" ca="1" si="0"/>
        <v>-</v>
      </c>
      <c r="E17" s="75">
        <f t="shared" ca="1" si="0"/>
        <v>0</v>
      </c>
      <c r="F17" s="4"/>
      <c r="G17" s="152"/>
      <c r="H17" s="117" t="s">
        <v>39</v>
      </c>
      <c r="I17" s="117" t="s">
        <v>39</v>
      </c>
      <c r="J17" s="117" t="s">
        <v>39</v>
      </c>
      <c r="K17" s="117" t="s">
        <v>39</v>
      </c>
      <c r="L17" s="117" t="s">
        <v>202</v>
      </c>
      <c r="M17" s="133">
        <v>124</v>
      </c>
      <c r="N17" s="59">
        <v>224</v>
      </c>
      <c r="O17" s="59">
        <v>324</v>
      </c>
      <c r="P17" s="59">
        <v>424</v>
      </c>
      <c r="Q17" s="60">
        <v>530</v>
      </c>
    </row>
    <row r="18" spans="2:17" ht="12.75" customHeight="1" x14ac:dyDescent="0.25">
      <c r="B18" s="69" t="s">
        <v>16</v>
      </c>
      <c r="D18" s="4"/>
      <c r="E18" s="13"/>
      <c r="F18" s="13"/>
      <c r="G18" s="152"/>
      <c r="H18" s="118" t="s">
        <v>17</v>
      </c>
      <c r="I18" s="118" t="s">
        <v>17</v>
      </c>
      <c r="J18" s="118" t="s">
        <v>17</v>
      </c>
      <c r="K18" s="118" t="s">
        <v>17</v>
      </c>
      <c r="L18" s="118" t="s">
        <v>76</v>
      </c>
      <c r="M18" s="133">
        <v>125</v>
      </c>
      <c r="N18" s="59">
        <v>225</v>
      </c>
      <c r="O18" s="59">
        <v>325</v>
      </c>
      <c r="P18" s="59">
        <v>425</v>
      </c>
      <c r="Q18" s="60">
        <v>531</v>
      </c>
    </row>
    <row r="19" spans="2:17" ht="12.75" customHeight="1" x14ac:dyDescent="0.25">
      <c r="C19" s="19"/>
      <c r="D19" s="11"/>
      <c r="E19" s="19"/>
      <c r="F19" s="13"/>
      <c r="G19" s="152"/>
      <c r="H19" s="117" t="s">
        <v>40</v>
      </c>
      <c r="I19" s="117" t="s">
        <v>40</v>
      </c>
      <c r="J19" s="117" t="s">
        <v>40</v>
      </c>
      <c r="K19" s="117" t="s">
        <v>40</v>
      </c>
      <c r="L19" s="117" t="s">
        <v>75</v>
      </c>
      <c r="M19" s="133">
        <v>126</v>
      </c>
      <c r="N19" s="59">
        <v>226</v>
      </c>
      <c r="O19" s="59">
        <v>326</v>
      </c>
      <c r="P19" s="59">
        <v>426</v>
      </c>
      <c r="Q19" s="60">
        <v>532</v>
      </c>
    </row>
    <row r="20" spans="2:17" ht="12.75" customHeight="1" x14ac:dyDescent="0.25">
      <c r="B20" s="18" t="s">
        <v>183</v>
      </c>
      <c r="D20" s="21" t="str">
        <f>B21</f>
        <v>Fachschaft</v>
      </c>
      <c r="E20" s="22"/>
      <c r="F20" s="4"/>
      <c r="G20" s="152"/>
      <c r="H20" s="118" t="s">
        <v>41</v>
      </c>
      <c r="I20" s="118" t="s">
        <v>41</v>
      </c>
      <c r="J20" s="118" t="s">
        <v>41</v>
      </c>
      <c r="K20" s="118" t="s">
        <v>41</v>
      </c>
      <c r="L20" s="118" t="s">
        <v>74</v>
      </c>
      <c r="M20" s="133">
        <v>127</v>
      </c>
      <c r="N20" s="59">
        <v>227</v>
      </c>
      <c r="O20" s="59">
        <v>327</v>
      </c>
      <c r="P20" s="59">
        <v>427</v>
      </c>
      <c r="Q20" s="60">
        <v>533</v>
      </c>
    </row>
    <row r="21" spans="2:17" ht="12.75" customHeight="1" x14ac:dyDescent="0.25">
      <c r="B21" s="67" t="s">
        <v>9</v>
      </c>
      <c r="C21" s="15">
        <v>1</v>
      </c>
      <c r="D21" s="70" t="str">
        <f t="shared" ref="D21:D29" ca="1" si="1">OFFSET(H3,0,$B$8-1)</f>
        <v>-</v>
      </c>
      <c r="E21" s="76">
        <f t="shared" ref="E21:E29" ca="1" si="2">OFFSET(M3,0,$B$8-1)</f>
        <v>0</v>
      </c>
      <c r="F21" s="8"/>
      <c r="G21" s="152"/>
      <c r="H21" s="117" t="s">
        <v>42</v>
      </c>
      <c r="I21" s="117" t="s">
        <v>42</v>
      </c>
      <c r="J21" s="117" t="s">
        <v>42</v>
      </c>
      <c r="K21" s="117" t="s">
        <v>42</v>
      </c>
      <c r="L21" s="117" t="s">
        <v>47</v>
      </c>
      <c r="M21" s="133">
        <v>128</v>
      </c>
      <c r="N21" s="59">
        <v>228</v>
      </c>
      <c r="O21" s="59">
        <v>328</v>
      </c>
      <c r="P21" s="59">
        <v>428</v>
      </c>
      <c r="Q21" s="60">
        <v>534</v>
      </c>
    </row>
    <row r="22" spans="2:17" ht="12.75" customHeight="1" x14ac:dyDescent="0.25">
      <c r="B22" s="68" t="s">
        <v>10</v>
      </c>
      <c r="C22" s="15">
        <v>2</v>
      </c>
      <c r="D22" s="72" t="str">
        <f t="shared" ca="1" si="1"/>
        <v>-</v>
      </c>
      <c r="E22" s="77">
        <f t="shared" ca="1" si="2"/>
        <v>0</v>
      </c>
      <c r="F22" s="8"/>
      <c r="G22" s="152"/>
      <c r="H22" s="117" t="s">
        <v>200</v>
      </c>
      <c r="I22" s="117" t="s">
        <v>200</v>
      </c>
      <c r="J22" s="117" t="s">
        <v>200</v>
      </c>
      <c r="K22" s="117" t="s">
        <v>200</v>
      </c>
      <c r="L22" s="117" t="s">
        <v>48</v>
      </c>
      <c r="M22" s="133">
        <v>129</v>
      </c>
      <c r="N22" s="59">
        <v>229</v>
      </c>
      <c r="O22" s="59">
        <v>329</v>
      </c>
      <c r="P22" s="59">
        <v>429</v>
      </c>
      <c r="Q22" s="60">
        <v>535</v>
      </c>
    </row>
    <row r="23" spans="2:17" ht="12.75" customHeight="1" x14ac:dyDescent="0.25">
      <c r="B23" s="68" t="s">
        <v>11</v>
      </c>
      <c r="C23" s="15">
        <v>3</v>
      </c>
      <c r="D23" s="72" t="str">
        <f t="shared" ca="1" si="1"/>
        <v>-</v>
      </c>
      <c r="E23" s="77">
        <f t="shared" ca="1" si="2"/>
        <v>0</v>
      </c>
      <c r="F23" s="8"/>
      <c r="G23" s="152"/>
      <c r="H23" s="117" t="s">
        <v>43</v>
      </c>
      <c r="I23" s="117" t="s">
        <v>46</v>
      </c>
      <c r="J23" s="117" t="s">
        <v>45</v>
      </c>
      <c r="K23" s="117" t="s">
        <v>43</v>
      </c>
      <c r="L23" s="117" t="s">
        <v>204</v>
      </c>
      <c r="M23" s="133">
        <v>130</v>
      </c>
      <c r="N23" s="59">
        <v>230</v>
      </c>
      <c r="O23" s="59">
        <v>333</v>
      </c>
      <c r="P23" s="59">
        <v>430</v>
      </c>
      <c r="Q23" s="60">
        <v>536</v>
      </c>
    </row>
    <row r="24" spans="2:17" ht="12.75" customHeight="1" x14ac:dyDescent="0.25">
      <c r="B24" s="69" t="s">
        <v>28</v>
      </c>
      <c r="C24" s="15">
        <v>4</v>
      </c>
      <c r="D24" s="72" t="str">
        <f t="shared" ca="1" si="1"/>
        <v>-</v>
      </c>
      <c r="E24" s="77">
        <f t="shared" ca="1" si="2"/>
        <v>0</v>
      </c>
      <c r="F24" s="8"/>
      <c r="G24" s="152"/>
      <c r="H24" s="117" t="s">
        <v>201</v>
      </c>
      <c r="I24" s="117" t="s">
        <v>45</v>
      </c>
      <c r="J24" s="118" t="s">
        <v>52</v>
      </c>
      <c r="K24" s="118" t="s">
        <v>46</v>
      </c>
      <c r="L24" s="117" t="s">
        <v>203</v>
      </c>
      <c r="M24" s="133">
        <v>131</v>
      </c>
      <c r="N24" s="59">
        <v>231</v>
      </c>
      <c r="O24" s="59"/>
      <c r="P24" s="59">
        <v>431</v>
      </c>
      <c r="Q24" s="60">
        <v>537</v>
      </c>
    </row>
    <row r="25" spans="2:17" ht="12.75" customHeight="1" x14ac:dyDescent="0.25">
      <c r="B25" s="9"/>
      <c r="C25" s="15">
        <v>5</v>
      </c>
      <c r="D25" s="72" t="str">
        <f t="shared" ca="1" si="1"/>
        <v>-</v>
      </c>
      <c r="E25" s="77">
        <f t="shared" ca="1" si="2"/>
        <v>0</v>
      </c>
      <c r="F25" s="8"/>
      <c r="G25" s="152"/>
      <c r="H25" s="117" t="s">
        <v>73</v>
      </c>
      <c r="I25" s="117" t="s">
        <v>209</v>
      </c>
      <c r="J25" s="118" t="s">
        <v>52</v>
      </c>
      <c r="K25" s="118" t="s">
        <v>44</v>
      </c>
      <c r="L25" s="117" t="s">
        <v>39</v>
      </c>
      <c r="M25" s="133">
        <v>132</v>
      </c>
      <c r="N25" s="59">
        <v>233</v>
      </c>
      <c r="O25" s="59"/>
      <c r="P25" s="59">
        <v>432</v>
      </c>
      <c r="Q25" s="60">
        <v>524</v>
      </c>
    </row>
    <row r="26" spans="2:17" ht="12.75" customHeight="1" x14ac:dyDescent="0.25">
      <c r="B26" s="18" t="s">
        <v>184</v>
      </c>
      <c r="C26" s="15">
        <v>6</v>
      </c>
      <c r="D26" s="72" t="str">
        <f t="shared" ca="1" si="1"/>
        <v>-</v>
      </c>
      <c r="E26" s="77">
        <f t="shared" ca="1" si="2"/>
        <v>0</v>
      </c>
      <c r="F26" s="8"/>
      <c r="G26" s="152"/>
      <c r="H26" s="117" t="s">
        <v>45</v>
      </c>
      <c r="I26" s="117" t="s">
        <v>208</v>
      </c>
      <c r="J26" s="117" t="s">
        <v>52</v>
      </c>
      <c r="K26" s="117" t="s">
        <v>52</v>
      </c>
      <c r="L26" s="117" t="s">
        <v>52</v>
      </c>
      <c r="M26" s="133">
        <v>133</v>
      </c>
      <c r="N26" s="59">
        <v>234</v>
      </c>
      <c r="O26" s="59"/>
      <c r="P26" s="59"/>
      <c r="Q26" s="60"/>
    </row>
    <row r="27" spans="2:17" ht="12.75" customHeight="1" x14ac:dyDescent="0.25">
      <c r="B27" s="67" t="s">
        <v>9</v>
      </c>
      <c r="C27" s="15">
        <v>7</v>
      </c>
      <c r="D27" s="72" t="str">
        <f t="shared" ca="1" si="1"/>
        <v>-</v>
      </c>
      <c r="E27" s="77">
        <f t="shared" ca="1" si="2"/>
        <v>0</v>
      </c>
      <c r="F27" s="8"/>
      <c r="G27" s="152"/>
      <c r="H27" s="118" t="s">
        <v>203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33">
        <v>135</v>
      </c>
      <c r="N27" s="59"/>
      <c r="O27" s="59"/>
      <c r="P27" s="59"/>
      <c r="Q27" s="60"/>
    </row>
    <row r="28" spans="2:17" ht="12.75" customHeight="1" x14ac:dyDescent="0.25">
      <c r="B28" s="68" t="s">
        <v>33</v>
      </c>
      <c r="C28" s="15">
        <v>8</v>
      </c>
      <c r="D28" s="72" t="str">
        <f t="shared" ca="1" si="1"/>
        <v>-</v>
      </c>
      <c r="E28" s="77">
        <f t="shared" ca="1" si="2"/>
        <v>0</v>
      </c>
      <c r="F28" s="8"/>
      <c r="G28" s="152"/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206</v>
      </c>
      <c r="M28" s="100"/>
      <c r="N28" s="101"/>
      <c r="O28" s="101"/>
      <c r="P28" s="101"/>
      <c r="Q28" s="102">
        <v>554</v>
      </c>
    </row>
    <row r="29" spans="2:17" ht="12.75" customHeight="1" x14ac:dyDescent="0.25">
      <c r="B29" s="68" t="s">
        <v>35</v>
      </c>
      <c r="C29" s="15">
        <v>9</v>
      </c>
      <c r="D29" s="72" t="str">
        <f t="shared" ca="1" si="1"/>
        <v>-</v>
      </c>
      <c r="E29" s="77">
        <f t="shared" ca="1" si="2"/>
        <v>0</v>
      </c>
      <c r="F29" s="8"/>
      <c r="G29" s="120"/>
      <c r="H29" s="115"/>
      <c r="I29" s="115"/>
      <c r="J29" s="115"/>
      <c r="K29" s="115"/>
      <c r="L29" s="115"/>
      <c r="M29" s="13"/>
      <c r="N29" s="13"/>
      <c r="O29" s="13"/>
      <c r="P29" s="13"/>
    </row>
    <row r="30" spans="2:17" ht="12.75" customHeight="1" x14ac:dyDescent="0.25">
      <c r="B30" s="68" t="s">
        <v>34</v>
      </c>
      <c r="C30" s="15">
        <v>10</v>
      </c>
      <c r="D30" s="23" t="s">
        <v>52</v>
      </c>
      <c r="E30" s="24">
        <v>0</v>
      </c>
      <c r="F30" s="4"/>
      <c r="G30" s="120"/>
      <c r="H30" s="21" t="str">
        <f>H2</f>
        <v>Wolfenbüttel</v>
      </c>
      <c r="I30" s="21" t="str">
        <f>I2</f>
        <v>Salzgitter</v>
      </c>
      <c r="J30" s="21" t="str">
        <f>J2</f>
        <v>Wolfsburg</v>
      </c>
      <c r="K30" s="21" t="str">
        <f>K2</f>
        <v>Suderburg</v>
      </c>
      <c r="L30" s="21" t="str">
        <f>L2</f>
        <v>sonst./überg.</v>
      </c>
      <c r="M30" s="153" t="s">
        <v>53</v>
      </c>
      <c r="N30" s="153"/>
      <c r="O30" s="153"/>
      <c r="P30" s="153"/>
      <c r="Q30" s="153"/>
    </row>
    <row r="31" spans="2:17" ht="12.75" customHeight="1" x14ac:dyDescent="0.25">
      <c r="B31" s="69" t="s">
        <v>181</v>
      </c>
      <c r="C31" s="15">
        <v>11</v>
      </c>
      <c r="D31" s="23" t="s">
        <v>52</v>
      </c>
      <c r="E31" s="24">
        <v>0</v>
      </c>
      <c r="F31" s="4"/>
      <c r="G31" s="152" t="str">
        <f>D52</f>
        <v>Projekt</v>
      </c>
      <c r="H31" s="116" t="s">
        <v>186</v>
      </c>
      <c r="I31" s="116" t="s">
        <v>186</v>
      </c>
      <c r="J31" s="116" t="s">
        <v>186</v>
      </c>
      <c r="K31" s="116" t="s">
        <v>186</v>
      </c>
      <c r="L31" s="116"/>
      <c r="M31" s="55">
        <v>151</v>
      </c>
      <c r="N31" s="56">
        <v>251</v>
      </c>
      <c r="O31" s="56">
        <v>351</v>
      </c>
      <c r="P31" s="56">
        <v>451</v>
      </c>
      <c r="Q31" s="57"/>
    </row>
    <row r="32" spans="2:17" ht="12.75" customHeight="1" x14ac:dyDescent="0.25">
      <c r="C32" s="15">
        <v>12</v>
      </c>
      <c r="D32" s="23" t="s">
        <v>52</v>
      </c>
      <c r="E32" s="24">
        <v>0</v>
      </c>
      <c r="F32" s="4"/>
      <c r="G32" s="152"/>
      <c r="H32" s="117" t="s">
        <v>187</v>
      </c>
      <c r="I32" s="117" t="s">
        <v>187</v>
      </c>
      <c r="J32" s="117" t="s">
        <v>187</v>
      </c>
      <c r="K32" s="117" t="s">
        <v>187</v>
      </c>
      <c r="L32" s="117"/>
      <c r="M32" s="58">
        <v>152</v>
      </c>
      <c r="N32" s="59">
        <v>252</v>
      </c>
      <c r="O32" s="59">
        <v>352</v>
      </c>
      <c r="P32" s="59">
        <v>452</v>
      </c>
      <c r="Q32" s="60"/>
    </row>
    <row r="33" spans="1:17" ht="12.75" customHeight="1" x14ac:dyDescent="0.25">
      <c r="B33" s="9" t="s">
        <v>69</v>
      </c>
      <c r="C33" s="15">
        <v>13</v>
      </c>
      <c r="D33" s="23" t="s">
        <v>52</v>
      </c>
      <c r="E33" s="24">
        <v>0</v>
      </c>
      <c r="F33" s="4"/>
      <c r="G33" s="152"/>
      <c r="H33" s="118" t="s">
        <v>188</v>
      </c>
      <c r="I33" s="118" t="s">
        <v>188</v>
      </c>
      <c r="J33" s="118" t="s">
        <v>188</v>
      </c>
      <c r="K33" s="118" t="s">
        <v>188</v>
      </c>
      <c r="L33" s="117"/>
      <c r="M33" s="58">
        <v>153</v>
      </c>
      <c r="N33" s="59">
        <v>253</v>
      </c>
      <c r="O33" s="59">
        <v>353</v>
      </c>
      <c r="P33" s="59">
        <v>453</v>
      </c>
      <c r="Q33" s="60"/>
    </row>
    <row r="34" spans="1:17" ht="12.75" customHeight="1" x14ac:dyDescent="0.25">
      <c r="B34" s="91" t="str">
        <f>INDEX(B14:B18,B8)</f>
        <v>sonst./überg.</v>
      </c>
      <c r="C34" s="15">
        <v>14</v>
      </c>
      <c r="D34" s="23" t="s">
        <v>52</v>
      </c>
      <c r="E34" s="24">
        <v>0</v>
      </c>
      <c r="F34" s="4"/>
      <c r="G34" s="152"/>
      <c r="H34" s="117" t="s">
        <v>189</v>
      </c>
      <c r="I34" s="117" t="s">
        <v>189</v>
      </c>
      <c r="J34" s="117" t="s">
        <v>189</v>
      </c>
      <c r="K34" s="117" t="s">
        <v>189</v>
      </c>
      <c r="L34" s="117"/>
      <c r="M34" s="58">
        <v>154</v>
      </c>
      <c r="N34" s="59">
        <v>254</v>
      </c>
      <c r="O34" s="59">
        <v>354</v>
      </c>
      <c r="P34" s="59">
        <v>454</v>
      </c>
      <c r="Q34" s="60"/>
    </row>
    <row r="35" spans="1:17" ht="12.75" customHeight="1" x14ac:dyDescent="0.25">
      <c r="B35" s="92" t="str">
        <f>INDEX(B21:B24,B9)</f>
        <v>Allgemein</v>
      </c>
      <c r="C35" s="15">
        <v>15</v>
      </c>
      <c r="D35" s="25" t="s">
        <v>52</v>
      </c>
      <c r="E35" s="26">
        <v>0</v>
      </c>
      <c r="F35" s="4"/>
      <c r="G35" s="152"/>
      <c r="H35" s="116" t="s">
        <v>49</v>
      </c>
      <c r="I35" s="116" t="s">
        <v>49</v>
      </c>
      <c r="J35" s="116" t="s">
        <v>49</v>
      </c>
      <c r="K35" s="116" t="s">
        <v>49</v>
      </c>
      <c r="L35" s="116" t="s">
        <v>52</v>
      </c>
      <c r="M35" s="55">
        <v>141</v>
      </c>
      <c r="N35" s="56">
        <v>241</v>
      </c>
      <c r="O35" s="56">
        <v>341</v>
      </c>
      <c r="P35" s="56">
        <v>441</v>
      </c>
      <c r="Q35" s="57"/>
    </row>
    <row r="36" spans="1:17" ht="12.75" customHeight="1" x14ac:dyDescent="0.25">
      <c r="B36" s="92" t="str">
        <f ca="1">INDEX(D3:D17,B10)</f>
        <v>Externer Antragsteller</v>
      </c>
      <c r="C36" s="15"/>
      <c r="D36" s="27" t="str">
        <f>B22</f>
        <v>Referat</v>
      </c>
      <c r="E36" s="28"/>
      <c r="F36" s="8"/>
      <c r="G36" s="152"/>
      <c r="H36" s="117" t="s">
        <v>44</v>
      </c>
      <c r="I36" s="117" t="s">
        <v>52</v>
      </c>
      <c r="J36" s="117" t="s">
        <v>52</v>
      </c>
      <c r="K36" s="117" t="s">
        <v>40</v>
      </c>
      <c r="L36" s="117" t="s">
        <v>52</v>
      </c>
      <c r="M36" s="58">
        <v>142</v>
      </c>
      <c r="N36" s="59"/>
      <c r="O36" s="59"/>
      <c r="P36" s="59">
        <v>442</v>
      </c>
      <c r="Q36" s="60"/>
    </row>
    <row r="37" spans="1:17" ht="12.75" customHeight="1" x14ac:dyDescent="0.25">
      <c r="B37" s="92" t="str">
        <f>INDEX(B27:B31,B11)</f>
        <v>Eigene / Zugehörige Budget</v>
      </c>
      <c r="C37" s="15">
        <v>1</v>
      </c>
      <c r="D37" s="70" t="str">
        <f t="shared" ref="D37:D51" ca="1" si="3">OFFSET(H14,0,$B$8-1)</f>
        <v>Sport</v>
      </c>
      <c r="E37" s="71">
        <f t="shared" ref="E37:E51" ca="1" si="4">OFFSET(M14,0,$B$8-1)</f>
        <v>521</v>
      </c>
      <c r="F37" s="8"/>
      <c r="G37" s="152"/>
      <c r="H37" s="118" t="s">
        <v>205</v>
      </c>
      <c r="I37" s="117" t="s">
        <v>52</v>
      </c>
      <c r="J37" s="117" t="s">
        <v>52</v>
      </c>
      <c r="K37" s="117" t="s">
        <v>50</v>
      </c>
      <c r="L37" s="117" t="s">
        <v>52</v>
      </c>
      <c r="M37" s="58">
        <v>143</v>
      </c>
      <c r="N37" s="59"/>
      <c r="O37" s="59"/>
      <c r="P37" s="59">
        <v>443</v>
      </c>
      <c r="Q37" s="60"/>
    </row>
    <row r="38" spans="1:17" ht="12.75" customHeight="1" x14ac:dyDescent="0.25">
      <c r="B38" s="93">
        <f ca="1">IF(INDEX(E3:E17,B10)=0,"-",INDEX(E3:E17,B10))</f>
        <v>500</v>
      </c>
      <c r="C38" s="15">
        <v>2</v>
      </c>
      <c r="D38" s="72" t="str">
        <f t="shared" ca="1" si="3"/>
        <v>Veranstaltung</v>
      </c>
      <c r="E38" s="73">
        <f t="shared" ca="1" si="4"/>
        <v>522</v>
      </c>
      <c r="F38" s="8"/>
      <c r="G38" s="152"/>
      <c r="H38" s="117" t="s">
        <v>180</v>
      </c>
      <c r="I38" s="117" t="s">
        <v>52</v>
      </c>
      <c r="J38" s="117" t="s">
        <v>52</v>
      </c>
      <c r="K38" s="117" t="s">
        <v>197</v>
      </c>
      <c r="L38" s="117" t="s">
        <v>52</v>
      </c>
      <c r="M38" s="58">
        <v>144</v>
      </c>
      <c r="N38" s="59"/>
      <c r="O38" s="59"/>
      <c r="P38" s="59">
        <v>444</v>
      </c>
      <c r="Q38" s="60"/>
    </row>
    <row r="39" spans="1:17" ht="12.75" customHeight="1" x14ac:dyDescent="0.25">
      <c r="C39" s="15">
        <v>3</v>
      </c>
      <c r="D39" s="72" t="str">
        <f t="shared" ca="1" si="3"/>
        <v>Raum</v>
      </c>
      <c r="E39" s="73">
        <f t="shared" ca="1" si="4"/>
        <v>528</v>
      </c>
      <c r="F39" s="8"/>
      <c r="G39" s="152"/>
      <c r="H39" s="117" t="s">
        <v>52</v>
      </c>
      <c r="I39" s="117" t="s">
        <v>52</v>
      </c>
      <c r="J39" s="117" t="s">
        <v>52</v>
      </c>
      <c r="K39" s="117" t="s">
        <v>52</v>
      </c>
      <c r="L39" s="117" t="s">
        <v>52</v>
      </c>
      <c r="M39" s="58"/>
      <c r="N39" s="59"/>
      <c r="O39" s="59"/>
      <c r="P39" s="59"/>
      <c r="Q39" s="60"/>
    </row>
    <row r="40" spans="1:17" ht="12.75" customHeight="1" x14ac:dyDescent="0.25">
      <c r="A40" s="13" t="s">
        <v>163</v>
      </c>
      <c r="C40" s="15">
        <v>4</v>
      </c>
      <c r="D40" s="72" t="str">
        <f t="shared" ca="1" si="3"/>
        <v>Nachhaltigkeit</v>
      </c>
      <c r="E40" s="73">
        <f t="shared" ca="1" si="4"/>
        <v>530</v>
      </c>
      <c r="F40" s="4"/>
      <c r="G40" s="152"/>
      <c r="H40" s="117" t="s">
        <v>52</v>
      </c>
      <c r="I40" s="117" t="s">
        <v>52</v>
      </c>
      <c r="J40" s="117" t="s">
        <v>52</v>
      </c>
      <c r="K40" s="117" t="s">
        <v>52</v>
      </c>
      <c r="L40" s="117" t="s">
        <v>52</v>
      </c>
      <c r="M40" s="58"/>
      <c r="N40" s="59"/>
      <c r="O40" s="59"/>
      <c r="P40" s="59"/>
      <c r="Q40" s="60"/>
    </row>
    <row r="41" spans="1:17" ht="12.75" customHeight="1" x14ac:dyDescent="0.25">
      <c r="A41" s="94">
        <f>MAX(A43:A47)</f>
        <v>1</v>
      </c>
      <c r="B41" s="95" t="str">
        <f>INDEX(B43:B47,A41)</f>
        <v xml:space="preserve"> </v>
      </c>
      <c r="C41" s="15">
        <v>5</v>
      </c>
      <c r="D41" s="72" t="str">
        <f t="shared" ca="1" si="3"/>
        <v>Finanz</v>
      </c>
      <c r="E41" s="73">
        <f t="shared" ca="1" si="4"/>
        <v>531</v>
      </c>
      <c r="F41" s="4"/>
      <c r="G41" s="152"/>
      <c r="H41" s="117" t="s">
        <v>52</v>
      </c>
      <c r="I41" s="117" t="s">
        <v>52</v>
      </c>
      <c r="J41" s="117" t="s">
        <v>52</v>
      </c>
      <c r="K41" s="117" t="s">
        <v>52</v>
      </c>
      <c r="L41" s="117" t="s">
        <v>52</v>
      </c>
      <c r="M41" s="58"/>
      <c r="N41" s="59"/>
      <c r="O41" s="59"/>
      <c r="P41" s="59"/>
      <c r="Q41" s="60"/>
    </row>
    <row r="42" spans="1:17" ht="12.75" customHeight="1" x14ac:dyDescent="0.25">
      <c r="A42" s="13" t="s">
        <v>165</v>
      </c>
      <c r="B42" s="13" t="s">
        <v>166</v>
      </c>
      <c r="C42" s="15">
        <v>6</v>
      </c>
      <c r="D42" s="72" t="str">
        <f t="shared" ca="1" si="3"/>
        <v>Inventar</v>
      </c>
      <c r="E42" s="73">
        <f t="shared" ca="1" si="4"/>
        <v>532</v>
      </c>
      <c r="F42" s="4"/>
      <c r="G42" s="152"/>
      <c r="H42" s="117" t="s">
        <v>52</v>
      </c>
      <c r="I42" s="117" t="s">
        <v>52</v>
      </c>
      <c r="J42" s="117" t="s">
        <v>52</v>
      </c>
      <c r="K42" s="117" t="s">
        <v>52</v>
      </c>
      <c r="L42" s="117" t="s">
        <v>52</v>
      </c>
      <c r="M42" s="58"/>
      <c r="N42" s="59"/>
      <c r="O42" s="59"/>
      <c r="P42" s="59"/>
      <c r="Q42" s="60"/>
    </row>
    <row r="43" spans="1:17" ht="12.75" customHeight="1" x14ac:dyDescent="0.25">
      <c r="A43" s="122">
        <v>1</v>
      </c>
      <c r="B43" s="123" t="str">
        <f>" "</f>
        <v xml:space="preserve"> </v>
      </c>
      <c r="C43" s="15">
        <v>7</v>
      </c>
      <c r="D43" s="72" t="str">
        <f t="shared" ca="1" si="3"/>
        <v>Semesterticket</v>
      </c>
      <c r="E43" s="73">
        <f t="shared" ca="1" si="4"/>
        <v>533</v>
      </c>
      <c r="F43" s="4"/>
      <c r="G43" s="152"/>
      <c r="H43" s="117" t="s">
        <v>52</v>
      </c>
      <c r="I43" s="117" t="s">
        <v>52</v>
      </c>
      <c r="J43" s="117" t="s">
        <v>52</v>
      </c>
      <c r="K43" s="117" t="s">
        <v>52</v>
      </c>
      <c r="L43" s="117" t="s">
        <v>52</v>
      </c>
      <c r="M43" s="58"/>
      <c r="N43" s="59"/>
      <c r="O43" s="59"/>
      <c r="P43" s="59"/>
      <c r="Q43" s="60"/>
    </row>
    <row r="44" spans="1:17" ht="12.75" customHeight="1" x14ac:dyDescent="0.25">
      <c r="A44" s="124">
        <f>IF(LEN(B44)&gt;1,2,0)</f>
        <v>0</v>
      </c>
      <c r="B44" s="125" t="str">
        <f>IF(AND(B9=1,B11=4),"Für Fachschaften werden üblicherweise keine festen Positionen im Haushalt außerhalb des Fachschaftsbudgets eingeplant!","")</f>
        <v/>
      </c>
      <c r="C44" s="15">
        <v>8</v>
      </c>
      <c r="D44" s="72" t="str">
        <f t="shared" ca="1" si="3"/>
        <v>Hochschulpolitik</v>
      </c>
      <c r="E44" s="73">
        <f t="shared" ca="1" si="4"/>
        <v>534</v>
      </c>
      <c r="F44" s="4"/>
      <c r="G44" s="152"/>
      <c r="H44" s="117" t="s">
        <v>52</v>
      </c>
      <c r="I44" s="117" t="s">
        <v>52</v>
      </c>
      <c r="J44" s="117" t="s">
        <v>52</v>
      </c>
      <c r="K44" s="117" t="s">
        <v>52</v>
      </c>
      <c r="L44" s="117" t="s">
        <v>52</v>
      </c>
      <c r="M44" s="58"/>
      <c r="N44" s="59"/>
      <c r="O44" s="59"/>
      <c r="P44" s="59"/>
      <c r="Q44" s="60"/>
    </row>
    <row r="45" spans="1:17" ht="12.75" customHeight="1" x14ac:dyDescent="0.25">
      <c r="A45" s="124">
        <f>IF(LEN(B45)&gt;1,3,0)</f>
        <v>0</v>
      </c>
      <c r="B45" s="125" t="str">
        <f>IF(AND(B11=1,OR(B9=2,B9=3)),"Referate und Projekte können nicht auf das Fachschaftsbudget zugreifen!",IF(AND(B11=1,B9=4),"Im Allgemeinen können nur Fachschaften auf das Fachschaftsbudget zugreifen!",""))</f>
        <v/>
      </c>
      <c r="C45" s="15">
        <v>9</v>
      </c>
      <c r="D45" s="72" t="str">
        <f t="shared" ca="1" si="3"/>
        <v>Veranstaltungskalkulation/Abrechnung</v>
      </c>
      <c r="E45" s="73">
        <f t="shared" ca="1" si="4"/>
        <v>535</v>
      </c>
      <c r="F45" s="4"/>
      <c r="G45" s="152"/>
      <c r="H45" s="121" t="s">
        <v>52</v>
      </c>
      <c r="I45" s="121" t="s">
        <v>52</v>
      </c>
      <c r="J45" s="121" t="s">
        <v>52</v>
      </c>
      <c r="K45" s="121" t="s">
        <v>52</v>
      </c>
      <c r="L45" s="121" t="s">
        <v>52</v>
      </c>
      <c r="M45" s="61"/>
      <c r="N45" s="62"/>
      <c r="O45" s="62"/>
      <c r="P45" s="62"/>
      <c r="Q45" s="63"/>
    </row>
    <row r="46" spans="1:17" ht="12.75" customHeight="1" x14ac:dyDescent="0.25">
      <c r="A46" s="124">
        <f>IF(LEN(B46)&gt;1,4,0)</f>
        <v>0</v>
      </c>
      <c r="B46" s="125" t="str">
        <f>IF(AND(B11=2,B9=1),"Absprache mit Vorstand / CG-Beschluss muss erfolgt sein!","")</f>
        <v/>
      </c>
      <c r="C46" s="15">
        <v>10</v>
      </c>
      <c r="D46" s="72" t="str">
        <f t="shared" ca="1" si="3"/>
        <v>Merchandise</v>
      </c>
      <c r="E46" s="73">
        <f t="shared" ca="1" si="4"/>
        <v>536</v>
      </c>
      <c r="F46" s="8"/>
    </row>
    <row r="47" spans="1:17" ht="12.75" customHeight="1" x14ac:dyDescent="0.25">
      <c r="A47" s="126">
        <f>IF(LEN(B47)&gt;1,5,0)</f>
        <v>0</v>
      </c>
      <c r="B47" s="127" t="str">
        <f>IF(B11=5,"","Wenn nicht das eigene Budget angesprochen werden soll, erfordert dies im Allgemeinen weitere Absprachen oder Beschlüsse!")</f>
        <v/>
      </c>
      <c r="C47" s="15">
        <v>11</v>
      </c>
      <c r="D47" s="72" t="str">
        <f t="shared" ca="1" si="3"/>
        <v>Digitalisierung</v>
      </c>
      <c r="E47" s="73">
        <f t="shared" ca="1" si="4"/>
        <v>537</v>
      </c>
      <c r="F47" s="8"/>
      <c r="H47" s="33" t="s">
        <v>72</v>
      </c>
    </row>
    <row r="48" spans="1:17" ht="12.75" customHeight="1" x14ac:dyDescent="0.25">
      <c r="C48" s="15">
        <v>12</v>
      </c>
      <c r="D48" s="72" t="str">
        <f t="shared" ca="1" si="3"/>
        <v>Design</v>
      </c>
      <c r="E48" s="73">
        <f t="shared" ca="1" si="4"/>
        <v>524</v>
      </c>
      <c r="F48" s="8"/>
      <c r="H48" s="70" t="s">
        <v>171</v>
      </c>
      <c r="I48" s="71">
        <f>100*B8+10</f>
        <v>510</v>
      </c>
    </row>
    <row r="49" spans="3:9" ht="12.75" customHeight="1" x14ac:dyDescent="0.25">
      <c r="C49" s="15">
        <v>13</v>
      </c>
      <c r="D49" s="72" t="str">
        <f t="shared" ca="1" si="3"/>
        <v>-</v>
      </c>
      <c r="E49" s="73">
        <f t="shared" ca="1" si="4"/>
        <v>0</v>
      </c>
      <c r="F49" s="8"/>
      <c r="H49" s="72" t="str">
        <f t="shared" ref="H49:H63" ca="1" si="5">IF(D37="-","-",CONCATENATE(D37,"-Referat"))</f>
        <v>Sport-Referat</v>
      </c>
      <c r="I49" s="73">
        <f t="shared" ref="I49:I63" ca="1" si="6">E37</f>
        <v>521</v>
      </c>
    </row>
    <row r="50" spans="3:9" ht="12.75" customHeight="1" x14ac:dyDescent="0.25">
      <c r="C50" s="15">
        <v>14</v>
      </c>
      <c r="D50" s="72" t="str">
        <f t="shared" ca="1" si="3"/>
        <v>-</v>
      </c>
      <c r="E50" s="73">
        <f t="shared" ca="1" si="4"/>
        <v>0</v>
      </c>
      <c r="F50" s="4"/>
      <c r="H50" s="72" t="str">
        <f t="shared" ca="1" si="5"/>
        <v>Veranstaltung-Referat</v>
      </c>
      <c r="I50" s="73">
        <f t="shared" ca="1" si="6"/>
        <v>522</v>
      </c>
    </row>
    <row r="51" spans="3:9" ht="12.75" customHeight="1" x14ac:dyDescent="0.25">
      <c r="C51" s="15">
        <v>15</v>
      </c>
      <c r="D51" s="74" t="str">
        <f t="shared" ca="1" si="3"/>
        <v>StuPa-Präsidum/HAV</v>
      </c>
      <c r="E51" s="75">
        <f t="shared" ca="1" si="4"/>
        <v>554</v>
      </c>
      <c r="F51" s="4"/>
      <c r="H51" s="72" t="str">
        <f t="shared" ca="1" si="5"/>
        <v>Raum-Referat</v>
      </c>
      <c r="I51" s="73">
        <f t="shared" ca="1" si="6"/>
        <v>528</v>
      </c>
    </row>
    <row r="52" spans="3:9" ht="12.75" customHeight="1" x14ac:dyDescent="0.25">
      <c r="C52" s="15"/>
      <c r="D52" s="27" t="str">
        <f>B23</f>
        <v>Projekt</v>
      </c>
      <c r="E52" s="28"/>
      <c r="F52" s="4"/>
      <c r="H52" s="72" t="str">
        <f t="shared" ca="1" si="5"/>
        <v>Nachhaltigkeit-Referat</v>
      </c>
      <c r="I52" s="73">
        <f t="shared" ca="1" si="6"/>
        <v>530</v>
      </c>
    </row>
    <row r="53" spans="3:9" ht="12.75" customHeight="1" x14ac:dyDescent="0.25">
      <c r="C53" s="15">
        <v>1</v>
      </c>
      <c r="D53" s="70">
        <f t="shared" ref="D53:D67" ca="1" si="7">OFFSET(H31,0,$B$8-1)</f>
        <v>0</v>
      </c>
      <c r="E53" s="71">
        <f t="shared" ref="E53:E67" ca="1" si="8">OFFSET(M31,0,$B$8-1)</f>
        <v>0</v>
      </c>
      <c r="F53" s="4"/>
      <c r="H53" s="72" t="str">
        <f t="shared" ca="1" si="5"/>
        <v>Finanz-Referat</v>
      </c>
      <c r="I53" s="73">
        <f t="shared" ca="1" si="6"/>
        <v>531</v>
      </c>
    </row>
    <row r="54" spans="3:9" ht="12.75" customHeight="1" x14ac:dyDescent="0.25">
      <c r="C54" s="15">
        <v>2</v>
      </c>
      <c r="D54" s="72">
        <f t="shared" ca="1" si="7"/>
        <v>0</v>
      </c>
      <c r="E54" s="73">
        <f t="shared" ca="1" si="8"/>
        <v>0</v>
      </c>
      <c r="F54" s="4"/>
      <c r="H54" s="72" t="str">
        <f t="shared" ca="1" si="5"/>
        <v>Inventar-Referat</v>
      </c>
      <c r="I54" s="73">
        <f t="shared" ca="1" si="6"/>
        <v>532</v>
      </c>
    </row>
    <row r="55" spans="3:9" ht="12.75" customHeight="1" x14ac:dyDescent="0.25">
      <c r="C55" s="15">
        <v>3</v>
      </c>
      <c r="D55" s="72">
        <f t="shared" ca="1" si="7"/>
        <v>0</v>
      </c>
      <c r="E55" s="73">
        <f t="shared" ca="1" si="8"/>
        <v>0</v>
      </c>
      <c r="F55" s="4"/>
      <c r="H55" s="72" t="str">
        <f t="shared" ca="1" si="5"/>
        <v>Semesterticket-Referat</v>
      </c>
      <c r="I55" s="73">
        <f t="shared" ca="1" si="6"/>
        <v>533</v>
      </c>
    </row>
    <row r="56" spans="3:9" ht="12.75" customHeight="1" x14ac:dyDescent="0.25">
      <c r="C56" s="15">
        <v>4</v>
      </c>
      <c r="D56" s="72">
        <f t="shared" ca="1" si="7"/>
        <v>0</v>
      </c>
      <c r="E56" s="73">
        <f t="shared" ca="1" si="8"/>
        <v>0</v>
      </c>
      <c r="F56" s="4"/>
      <c r="H56" s="72" t="str">
        <f t="shared" ca="1" si="5"/>
        <v>Hochschulpolitik-Referat</v>
      </c>
      <c r="I56" s="73">
        <f t="shared" ca="1" si="6"/>
        <v>534</v>
      </c>
    </row>
    <row r="57" spans="3:9" ht="12.75" customHeight="1" x14ac:dyDescent="0.25">
      <c r="C57" s="15">
        <v>5</v>
      </c>
      <c r="D57" s="72" t="str">
        <f t="shared" ca="1" si="7"/>
        <v>-</v>
      </c>
      <c r="E57" s="73">
        <f t="shared" ca="1" si="8"/>
        <v>0</v>
      </c>
      <c r="F57" s="4"/>
      <c r="H57" s="72" t="str">
        <f t="shared" ca="1" si="5"/>
        <v>Veranstaltungskalkulation/Abrechnung-Referat</v>
      </c>
      <c r="I57" s="73">
        <f t="shared" ca="1" si="6"/>
        <v>535</v>
      </c>
    </row>
    <row r="58" spans="3:9" ht="12.75" customHeight="1" x14ac:dyDescent="0.25">
      <c r="C58" s="15">
        <v>6</v>
      </c>
      <c r="D58" s="72" t="str">
        <f t="shared" ca="1" si="7"/>
        <v>-</v>
      </c>
      <c r="E58" s="73">
        <f t="shared" ca="1" si="8"/>
        <v>0</v>
      </c>
      <c r="F58" s="4"/>
      <c r="H58" s="72" t="str">
        <f t="shared" ca="1" si="5"/>
        <v>Merchandise-Referat</v>
      </c>
      <c r="I58" s="73">
        <f t="shared" ca="1" si="6"/>
        <v>536</v>
      </c>
    </row>
    <row r="59" spans="3:9" ht="12.75" customHeight="1" x14ac:dyDescent="0.25">
      <c r="C59" s="15">
        <v>7</v>
      </c>
      <c r="D59" s="72" t="str">
        <f t="shared" ca="1" si="7"/>
        <v>-</v>
      </c>
      <c r="E59" s="73">
        <f t="shared" ca="1" si="8"/>
        <v>0</v>
      </c>
      <c r="F59" s="4"/>
      <c r="H59" s="72" t="str">
        <f t="shared" ca="1" si="5"/>
        <v>Digitalisierung-Referat</v>
      </c>
      <c r="I59" s="73">
        <f t="shared" ca="1" si="6"/>
        <v>537</v>
      </c>
    </row>
    <row r="60" spans="3:9" ht="12.75" customHeight="1" x14ac:dyDescent="0.25">
      <c r="C60" s="15">
        <v>8</v>
      </c>
      <c r="D60" s="72" t="str">
        <f t="shared" ca="1" si="7"/>
        <v>-</v>
      </c>
      <c r="E60" s="73">
        <f t="shared" ca="1" si="8"/>
        <v>0</v>
      </c>
      <c r="F60" s="4"/>
      <c r="H60" s="72" t="str">
        <f t="shared" ca="1" si="5"/>
        <v>Design-Referat</v>
      </c>
      <c r="I60" s="73">
        <f t="shared" ca="1" si="6"/>
        <v>524</v>
      </c>
    </row>
    <row r="61" spans="3:9" ht="12.75" customHeight="1" x14ac:dyDescent="0.25">
      <c r="C61" s="15">
        <v>9</v>
      </c>
      <c r="D61" s="72" t="str">
        <f t="shared" ca="1" si="7"/>
        <v>-</v>
      </c>
      <c r="E61" s="73">
        <f t="shared" ca="1" si="8"/>
        <v>0</v>
      </c>
      <c r="F61" s="4"/>
      <c r="H61" s="72" t="str">
        <f t="shared" ca="1" si="5"/>
        <v>-</v>
      </c>
      <c r="I61" s="73">
        <f t="shared" ca="1" si="6"/>
        <v>0</v>
      </c>
    </row>
    <row r="62" spans="3:9" ht="12.75" customHeight="1" x14ac:dyDescent="0.25">
      <c r="C62" s="15">
        <v>10</v>
      </c>
      <c r="D62" s="72" t="str">
        <f t="shared" ca="1" si="7"/>
        <v>-</v>
      </c>
      <c r="E62" s="73">
        <f t="shared" ca="1" si="8"/>
        <v>0</v>
      </c>
      <c r="F62" s="4"/>
      <c r="H62" s="72" t="str">
        <f t="shared" ca="1" si="5"/>
        <v>-</v>
      </c>
      <c r="I62" s="73">
        <f t="shared" ca="1" si="6"/>
        <v>0</v>
      </c>
    </row>
    <row r="63" spans="3:9" ht="12.75" customHeight="1" x14ac:dyDescent="0.25">
      <c r="C63" s="15">
        <v>11</v>
      </c>
      <c r="D63" s="72" t="str">
        <f t="shared" ca="1" si="7"/>
        <v>-</v>
      </c>
      <c r="E63" s="73">
        <f t="shared" ca="1" si="8"/>
        <v>0</v>
      </c>
      <c r="F63" s="4"/>
      <c r="H63" s="72" t="str">
        <f t="shared" ca="1" si="5"/>
        <v>StuPa-Präsidum/HAV-Referat</v>
      </c>
      <c r="I63" s="73">
        <f t="shared" ca="1" si="6"/>
        <v>554</v>
      </c>
    </row>
    <row r="64" spans="3:9" ht="12.75" customHeight="1" x14ac:dyDescent="0.25">
      <c r="C64" s="15">
        <v>12</v>
      </c>
      <c r="D64" s="72" t="str">
        <f t="shared" ca="1" si="7"/>
        <v>-</v>
      </c>
      <c r="E64" s="73">
        <f t="shared" ca="1" si="8"/>
        <v>0</v>
      </c>
      <c r="F64" s="4"/>
      <c r="H64" s="72" t="str">
        <f t="shared" ref="H64:H78" ca="1" si="9">IF(D53="-","-",CONCATENATE(D53,"-Projekt"))</f>
        <v>0-Projekt</v>
      </c>
      <c r="I64" s="73">
        <f t="shared" ref="I64:I78" ca="1" si="10">E53</f>
        <v>0</v>
      </c>
    </row>
    <row r="65" spans="3:9" ht="12.75" customHeight="1" x14ac:dyDescent="0.25">
      <c r="C65" s="15">
        <v>13</v>
      </c>
      <c r="D65" s="72" t="str">
        <f t="shared" ca="1" si="7"/>
        <v>-</v>
      </c>
      <c r="E65" s="73">
        <f t="shared" ca="1" si="8"/>
        <v>0</v>
      </c>
      <c r="F65" s="4"/>
      <c r="H65" s="72" t="str">
        <f t="shared" ca="1" si="9"/>
        <v>0-Projekt</v>
      </c>
      <c r="I65" s="73">
        <f t="shared" ca="1" si="10"/>
        <v>0</v>
      </c>
    </row>
    <row r="66" spans="3:9" ht="12.75" customHeight="1" x14ac:dyDescent="0.25">
      <c r="C66" s="15">
        <v>14</v>
      </c>
      <c r="D66" s="72" t="str">
        <f t="shared" ca="1" si="7"/>
        <v>-</v>
      </c>
      <c r="E66" s="73">
        <f t="shared" ca="1" si="8"/>
        <v>0</v>
      </c>
      <c r="F66" s="4"/>
      <c r="H66" s="72" t="str">
        <f t="shared" ca="1" si="9"/>
        <v>0-Projekt</v>
      </c>
      <c r="I66" s="73">
        <f t="shared" ca="1" si="10"/>
        <v>0</v>
      </c>
    </row>
    <row r="67" spans="3:9" ht="12.75" customHeight="1" x14ac:dyDescent="0.25">
      <c r="C67" s="15">
        <v>15</v>
      </c>
      <c r="D67" s="74" t="str">
        <f t="shared" ca="1" si="7"/>
        <v>-</v>
      </c>
      <c r="E67" s="75">
        <f t="shared" ca="1" si="8"/>
        <v>0</v>
      </c>
      <c r="F67" s="4"/>
      <c r="H67" s="72" t="str">
        <f t="shared" ca="1" si="9"/>
        <v>0-Projekt</v>
      </c>
      <c r="I67" s="73">
        <f t="shared" ca="1" si="10"/>
        <v>0</v>
      </c>
    </row>
    <row r="68" spans="3:9" ht="12.75" customHeight="1" x14ac:dyDescent="0.25">
      <c r="C68" s="15"/>
      <c r="D68" s="27" t="str">
        <f>B24</f>
        <v>Allgemein</v>
      </c>
      <c r="E68" s="20"/>
      <c r="F68" s="4"/>
      <c r="H68" s="72" t="str">
        <f t="shared" ca="1" si="9"/>
        <v>-</v>
      </c>
      <c r="I68" s="73">
        <f t="shared" ca="1" si="10"/>
        <v>0</v>
      </c>
    </row>
    <row r="69" spans="3:9" ht="12.75" customHeight="1" x14ac:dyDescent="0.25">
      <c r="C69" s="15">
        <v>1</v>
      </c>
      <c r="D69" s="1" t="s">
        <v>54</v>
      </c>
      <c r="E69" s="5">
        <f>10+100*$B$8</f>
        <v>510</v>
      </c>
      <c r="F69" s="4"/>
      <c r="H69" s="72" t="str">
        <f t="shared" ca="1" si="9"/>
        <v>-</v>
      </c>
      <c r="I69" s="73">
        <f t="shared" ca="1" si="10"/>
        <v>0</v>
      </c>
    </row>
    <row r="70" spans="3:9" ht="12.75" customHeight="1" x14ac:dyDescent="0.25">
      <c r="C70" s="15">
        <v>2</v>
      </c>
      <c r="D70" s="2" t="s">
        <v>55</v>
      </c>
      <c r="E70" s="6">
        <v>554</v>
      </c>
      <c r="F70" s="4"/>
      <c r="H70" s="72" t="str">
        <f t="shared" ca="1" si="9"/>
        <v>-</v>
      </c>
      <c r="I70" s="73">
        <f t="shared" ca="1" si="10"/>
        <v>0</v>
      </c>
    </row>
    <row r="71" spans="3:9" ht="12.75" customHeight="1" x14ac:dyDescent="0.25">
      <c r="C71" s="15">
        <v>3</v>
      </c>
      <c r="D71" s="2" t="s">
        <v>56</v>
      </c>
      <c r="E71" s="6">
        <v>555</v>
      </c>
      <c r="F71" s="4"/>
      <c r="H71" s="72" t="str">
        <f t="shared" ca="1" si="9"/>
        <v>-</v>
      </c>
      <c r="I71" s="73">
        <f t="shared" ca="1" si="10"/>
        <v>0</v>
      </c>
    </row>
    <row r="72" spans="3:9" ht="12.75" customHeight="1" x14ac:dyDescent="0.25">
      <c r="C72" s="15">
        <v>4</v>
      </c>
      <c r="D72" s="2" t="s">
        <v>70</v>
      </c>
      <c r="E72" s="6">
        <f>100*B8</f>
        <v>500</v>
      </c>
      <c r="F72" s="4"/>
      <c r="H72" s="72" t="str">
        <f t="shared" ca="1" si="9"/>
        <v>-</v>
      </c>
      <c r="I72" s="73">
        <f t="shared" ca="1" si="10"/>
        <v>0</v>
      </c>
    </row>
    <row r="73" spans="3:9" ht="12.75" customHeight="1" x14ac:dyDescent="0.25">
      <c r="C73" s="15">
        <v>5</v>
      </c>
      <c r="D73" s="2" t="s">
        <v>52</v>
      </c>
      <c r="E73" s="6">
        <v>0</v>
      </c>
      <c r="F73" s="4"/>
      <c r="H73" s="72" t="str">
        <f t="shared" ca="1" si="9"/>
        <v>-</v>
      </c>
      <c r="I73" s="73">
        <f t="shared" ca="1" si="10"/>
        <v>0</v>
      </c>
    </row>
    <row r="74" spans="3:9" ht="12.75" customHeight="1" x14ac:dyDescent="0.25">
      <c r="C74" s="15">
        <v>6</v>
      </c>
      <c r="D74" s="2" t="s">
        <v>52</v>
      </c>
      <c r="E74" s="6">
        <v>0</v>
      </c>
      <c r="F74" s="4"/>
      <c r="H74" s="72" t="str">
        <f t="shared" ca="1" si="9"/>
        <v>-</v>
      </c>
      <c r="I74" s="73">
        <f t="shared" ca="1" si="10"/>
        <v>0</v>
      </c>
    </row>
    <row r="75" spans="3:9" ht="12.75" customHeight="1" x14ac:dyDescent="0.25">
      <c r="C75" s="15">
        <v>7</v>
      </c>
      <c r="D75" s="2" t="s">
        <v>52</v>
      </c>
      <c r="E75" s="6">
        <v>0</v>
      </c>
      <c r="F75" s="4"/>
      <c r="H75" s="72" t="str">
        <f t="shared" ca="1" si="9"/>
        <v>-</v>
      </c>
      <c r="I75" s="73">
        <f t="shared" ca="1" si="10"/>
        <v>0</v>
      </c>
    </row>
    <row r="76" spans="3:9" ht="12.75" customHeight="1" x14ac:dyDescent="0.25">
      <c r="C76" s="15">
        <v>8</v>
      </c>
      <c r="D76" s="2" t="s">
        <v>52</v>
      </c>
      <c r="E76" s="6">
        <v>0</v>
      </c>
      <c r="F76" s="4"/>
      <c r="H76" s="72" t="str">
        <f t="shared" ca="1" si="9"/>
        <v>-</v>
      </c>
      <c r="I76" s="73">
        <f t="shared" ca="1" si="10"/>
        <v>0</v>
      </c>
    </row>
    <row r="77" spans="3:9" ht="12.75" customHeight="1" x14ac:dyDescent="0.25">
      <c r="C77" s="15">
        <v>9</v>
      </c>
      <c r="D77" s="2" t="s">
        <v>52</v>
      </c>
      <c r="E77" s="6">
        <v>0</v>
      </c>
      <c r="F77" s="4"/>
      <c r="H77" s="72" t="str">
        <f t="shared" ca="1" si="9"/>
        <v>-</v>
      </c>
      <c r="I77" s="73">
        <f t="shared" ca="1" si="10"/>
        <v>0</v>
      </c>
    </row>
    <row r="78" spans="3:9" ht="12.75" customHeight="1" x14ac:dyDescent="0.25">
      <c r="C78" s="15">
        <v>10</v>
      </c>
      <c r="D78" s="2" t="s">
        <v>52</v>
      </c>
      <c r="E78" s="6">
        <v>0</v>
      </c>
      <c r="F78" s="4"/>
      <c r="H78" s="74" t="str">
        <f t="shared" ca="1" si="9"/>
        <v>-</v>
      </c>
      <c r="I78" s="75">
        <f t="shared" ca="1" si="10"/>
        <v>0</v>
      </c>
    </row>
    <row r="79" spans="3:9" ht="12.75" customHeight="1" x14ac:dyDescent="0.25">
      <c r="C79" s="15">
        <v>11</v>
      </c>
      <c r="D79" s="2" t="s">
        <v>52</v>
      </c>
      <c r="E79" s="6">
        <v>0</v>
      </c>
      <c r="F79" s="4"/>
    </row>
    <row r="80" spans="3:9" ht="12.75" customHeight="1" x14ac:dyDescent="0.25">
      <c r="C80" s="15">
        <v>12</v>
      </c>
      <c r="D80" s="2" t="s">
        <v>52</v>
      </c>
      <c r="E80" s="6">
        <v>0</v>
      </c>
      <c r="F80" s="4"/>
    </row>
    <row r="81" spans="3:6" ht="12.75" customHeight="1" x14ac:dyDescent="0.25">
      <c r="C81" s="15">
        <v>13</v>
      </c>
      <c r="D81" s="2" t="s">
        <v>52</v>
      </c>
      <c r="E81" s="6">
        <v>0</v>
      </c>
      <c r="F81" s="4"/>
    </row>
    <row r="82" spans="3:6" ht="12.75" customHeight="1" x14ac:dyDescent="0.25">
      <c r="C82" s="15">
        <v>14</v>
      </c>
      <c r="D82" s="2" t="s">
        <v>52</v>
      </c>
      <c r="E82" s="6">
        <v>0</v>
      </c>
      <c r="F82" s="4"/>
    </row>
    <row r="83" spans="3:6" ht="12.75" customHeight="1" x14ac:dyDescent="0.25">
      <c r="C83" s="15">
        <v>15</v>
      </c>
      <c r="D83" s="3" t="s">
        <v>52</v>
      </c>
      <c r="E83" s="7">
        <v>0</v>
      </c>
      <c r="F83" s="4"/>
    </row>
  </sheetData>
  <mergeCells count="8">
    <mergeCell ref="C1:L1"/>
    <mergeCell ref="A1:B1"/>
    <mergeCell ref="G31:G45"/>
    <mergeCell ref="M13:Q13"/>
    <mergeCell ref="M30:Q30"/>
    <mergeCell ref="M2:Q2"/>
    <mergeCell ref="G3:G11"/>
    <mergeCell ref="G14:G28"/>
  </mergeCells>
  <dataValidations count="4">
    <dataValidation allowBlank="1" showInputMessage="1" showErrorMessage="1" promptTitle="Version" prompt="Kann in ganzen Zahlen erhöht werden._x000a_Es kann beim Zusammenführen der Dateien eine Mindestversion gefordert werden._x000a_Dadurch können ältere Vorlagen identifiziert werden." sqref="B5"/>
    <dataValidation allowBlank="1" showInputMessage="1" showErrorMessage="1" prompt="Die inhaltliche Bedeutung sowie die Position darf nicht geändert werden, da diese fest programmiert ist." sqref="B21:B24 B27:B31"/>
    <dataValidation allowBlank="1" showErrorMessage="1" sqref="B20 B26"/>
    <dataValidation allowBlank="1" showInputMessage="1" showErrorMessage="1" prompt="Die inhaltliche Bedeutung sowie die Position darf nicht geändert werden, da diese fest programmiert ist._x000a_(z.B. B11=1 entspricht Fachschaftsbudget)" sqref="B8:B11"/>
  </dataValidations>
  <pageMargins left="0.12" right="0.2" top="0.13" bottom="0.13" header="0.3" footer="0.3"/>
  <pageSetup paperSize="9" scale="56" orientation="landscape" horizontalDpi="4294967293" r:id="rId1"/>
  <ignoredErrors>
    <ignoredError sqref="A41" unlockedFormula="1"/>
    <ignoredError sqref="B41" unlockedFormula="1" emptyCellReference="1"/>
    <ignoredError sqref="A47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Konto"/>
  <dimension ref="A1:F30"/>
  <sheetViews>
    <sheetView workbookViewId="0">
      <selection activeCell="A6" sqref="A6"/>
    </sheetView>
  </sheetViews>
  <sheetFormatPr baseColWidth="10" defaultRowHeight="14.25" customHeight="1" x14ac:dyDescent="0.25"/>
  <cols>
    <col min="1" max="1" width="12.85546875" customWidth="1"/>
    <col min="2" max="2" width="34.7109375" customWidth="1"/>
  </cols>
  <sheetData>
    <row r="1" spans="1:6" ht="14.25" customHeight="1" x14ac:dyDescent="0.25">
      <c r="A1" s="29" t="s">
        <v>68</v>
      </c>
    </row>
    <row r="2" spans="1:6" ht="14.25" customHeight="1" thickBot="1" x14ac:dyDescent="0.3">
      <c r="B2" s="13" t="s">
        <v>83</v>
      </c>
      <c r="D2" t="s">
        <v>159</v>
      </c>
    </row>
    <row r="3" spans="1:6" ht="14.25" customHeight="1" x14ac:dyDescent="0.25">
      <c r="B3" s="30" t="s">
        <v>7</v>
      </c>
      <c r="D3" s="86" t="s">
        <v>156</v>
      </c>
      <c r="E3" s="86" t="s">
        <v>174</v>
      </c>
    </row>
    <row r="4" spans="1:6" ht="14.25" customHeight="1" thickBot="1" x14ac:dyDescent="0.3">
      <c r="B4" s="31" t="s">
        <v>8</v>
      </c>
      <c r="D4" s="86" t="s">
        <v>157</v>
      </c>
      <c r="E4" s="86" t="s">
        <v>173</v>
      </c>
    </row>
    <row r="5" spans="1:6" ht="14.25" customHeight="1" x14ac:dyDescent="0.25">
      <c r="A5" s="15" t="s">
        <v>158</v>
      </c>
      <c r="B5" s="87">
        <v>5</v>
      </c>
    </row>
    <row r="6" spans="1:6" ht="14.25" customHeight="1" x14ac:dyDescent="0.25">
      <c r="A6" s="104" t="s">
        <v>199</v>
      </c>
      <c r="B6" s="131">
        <v>2</v>
      </c>
    </row>
    <row r="7" spans="1:6" ht="14.25" customHeight="1" x14ac:dyDescent="0.25">
      <c r="D7" s="113" t="s">
        <v>177</v>
      </c>
      <c r="E7" s="113" t="s">
        <v>176</v>
      </c>
    </row>
    <row r="8" spans="1:6" ht="14.25" customHeight="1" x14ac:dyDescent="0.25">
      <c r="B8" s="104" t="s">
        <v>178</v>
      </c>
      <c r="D8" s="89">
        <v>150</v>
      </c>
      <c r="E8" s="89">
        <v>952</v>
      </c>
    </row>
    <row r="9" spans="1:6" ht="14.25" customHeight="1" x14ac:dyDescent="0.25">
      <c r="B9" s="38" t="s">
        <v>160</v>
      </c>
      <c r="C9" t="s">
        <v>91</v>
      </c>
      <c r="D9" t="s">
        <v>75</v>
      </c>
      <c r="E9" t="s">
        <v>175</v>
      </c>
      <c r="F9" t="s">
        <v>172</v>
      </c>
    </row>
    <row r="10" spans="1:6" ht="14.25" customHeight="1" x14ac:dyDescent="0.25">
      <c r="B10" s="87" t="s">
        <v>192</v>
      </c>
      <c r="C10" s="87">
        <v>0</v>
      </c>
      <c r="D10" s="114">
        <f>C10</f>
        <v>0</v>
      </c>
      <c r="E10" s="114">
        <f t="shared" ref="E10" si="0">C10</f>
        <v>0</v>
      </c>
      <c r="F10" s="87">
        <v>0</v>
      </c>
    </row>
    <row r="11" spans="1:6" ht="14.25" customHeight="1" x14ac:dyDescent="0.25">
      <c r="B11" s="128" t="s">
        <v>191</v>
      </c>
      <c r="C11" s="87">
        <v>4985</v>
      </c>
      <c r="D11" s="87">
        <v>4860</v>
      </c>
      <c r="E11" s="87">
        <v>4830</v>
      </c>
      <c r="F11" s="87">
        <v>0</v>
      </c>
    </row>
    <row r="12" spans="1:6" ht="14.25" customHeight="1" x14ac:dyDescent="0.25">
      <c r="B12" s="87" t="s">
        <v>88</v>
      </c>
      <c r="C12" s="87">
        <v>4640</v>
      </c>
      <c r="D12" s="114">
        <f>C12</f>
        <v>4640</v>
      </c>
      <c r="E12" s="114">
        <f t="shared" ref="E12" si="1">C12</f>
        <v>4640</v>
      </c>
      <c r="F12" s="87">
        <v>0</v>
      </c>
    </row>
    <row r="13" spans="1:6" ht="14.25" customHeight="1" x14ac:dyDescent="0.25">
      <c r="B13" s="87" t="s">
        <v>198</v>
      </c>
      <c r="C13" s="87">
        <v>2381</v>
      </c>
      <c r="D13" s="114">
        <f t="shared" ref="D13" si="2">C13</f>
        <v>2381</v>
      </c>
      <c r="E13" s="114">
        <f t="shared" ref="E13:E19" si="3">C13</f>
        <v>2381</v>
      </c>
      <c r="F13" s="87">
        <v>0</v>
      </c>
    </row>
    <row r="14" spans="1:6" ht="14.25" customHeight="1" x14ac:dyDescent="0.25">
      <c r="B14" s="87" t="s">
        <v>86</v>
      </c>
      <c r="C14" s="87">
        <v>4945</v>
      </c>
      <c r="D14" s="114">
        <f t="shared" ref="D14:D19" si="4">C14</f>
        <v>4945</v>
      </c>
      <c r="E14" s="114">
        <f t="shared" si="3"/>
        <v>4945</v>
      </c>
      <c r="F14" s="87">
        <v>0</v>
      </c>
    </row>
    <row r="15" spans="1:6" ht="14.25" customHeight="1" x14ac:dyDescent="0.25">
      <c r="B15" s="87" t="s">
        <v>84</v>
      </c>
      <c r="C15" s="87">
        <v>4663</v>
      </c>
      <c r="D15" s="114">
        <f t="shared" si="4"/>
        <v>4663</v>
      </c>
      <c r="E15" s="114">
        <f t="shared" si="3"/>
        <v>4663</v>
      </c>
      <c r="F15" s="87">
        <v>0</v>
      </c>
    </row>
    <row r="16" spans="1:6" ht="14.25" customHeight="1" x14ac:dyDescent="0.25">
      <c r="B16" s="87" t="s">
        <v>90</v>
      </c>
      <c r="C16" s="87">
        <v>4909</v>
      </c>
      <c r="D16" s="114">
        <f t="shared" si="4"/>
        <v>4909</v>
      </c>
      <c r="E16" s="114">
        <f t="shared" si="3"/>
        <v>4909</v>
      </c>
      <c r="F16" s="87">
        <v>0</v>
      </c>
    </row>
    <row r="17" spans="2:6" ht="14.25" customHeight="1" x14ac:dyDescent="0.25">
      <c r="B17" s="87" t="s">
        <v>51</v>
      </c>
      <c r="C17" s="87">
        <v>4610</v>
      </c>
      <c r="D17" s="114">
        <f t="shared" si="4"/>
        <v>4610</v>
      </c>
      <c r="E17" s="114">
        <f t="shared" si="3"/>
        <v>4610</v>
      </c>
      <c r="F17" s="87">
        <v>0</v>
      </c>
    </row>
    <row r="18" spans="2:6" ht="14.25" customHeight="1" x14ac:dyDescent="0.25">
      <c r="B18" s="87" t="s">
        <v>87</v>
      </c>
      <c r="C18" s="87">
        <v>4605</v>
      </c>
      <c r="D18" s="114">
        <f t="shared" si="4"/>
        <v>4605</v>
      </c>
      <c r="E18" s="114">
        <f t="shared" si="3"/>
        <v>4605</v>
      </c>
      <c r="F18" s="87">
        <v>1</v>
      </c>
    </row>
    <row r="19" spans="2:6" ht="14.25" customHeight="1" x14ac:dyDescent="0.25">
      <c r="B19" s="87" t="s">
        <v>89</v>
      </c>
      <c r="C19" s="87">
        <v>4985</v>
      </c>
      <c r="D19" s="114">
        <f t="shared" si="4"/>
        <v>4985</v>
      </c>
      <c r="E19" s="114">
        <f t="shared" si="3"/>
        <v>4985</v>
      </c>
      <c r="F19" s="87">
        <v>1</v>
      </c>
    </row>
    <row r="21" spans="2:6" ht="14.25" customHeight="1" x14ac:dyDescent="0.25">
      <c r="B21" s="38" t="s">
        <v>164</v>
      </c>
    </row>
    <row r="22" spans="2:6" ht="14.25" customHeight="1" x14ac:dyDescent="0.25">
      <c r="B22" s="90" t="s">
        <v>85</v>
      </c>
      <c r="C22" s="87">
        <v>4196</v>
      </c>
    </row>
    <row r="23" spans="2:6" ht="14.25" customHeight="1" x14ac:dyDescent="0.25">
      <c r="B23" s="13" t="s">
        <v>78</v>
      </c>
      <c r="C23" s="13"/>
    </row>
    <row r="24" spans="2:6" ht="14.25" customHeight="1" x14ac:dyDescent="0.25">
      <c r="B24" s="64">
        <v>300</v>
      </c>
      <c r="C24" s="13" t="s">
        <v>79</v>
      </c>
    </row>
    <row r="25" spans="2:6" ht="14.25" customHeight="1" x14ac:dyDescent="0.25">
      <c r="B25" s="65">
        <v>500</v>
      </c>
      <c r="C25" s="13" t="s">
        <v>80</v>
      </c>
    </row>
    <row r="26" spans="2:6" ht="14.25" customHeight="1" x14ac:dyDescent="0.25">
      <c r="B26" s="66">
        <v>800</v>
      </c>
      <c r="C26" s="13" t="s">
        <v>81</v>
      </c>
    </row>
    <row r="29" spans="2:6" ht="14.25" customHeight="1" x14ac:dyDescent="0.25">
      <c r="C29" t="s">
        <v>168</v>
      </c>
      <c r="D29" t="s">
        <v>169</v>
      </c>
    </row>
    <row r="30" spans="2:6" ht="14.25" customHeight="1" x14ac:dyDescent="0.25">
      <c r="B30" s="99" t="s">
        <v>179</v>
      </c>
      <c r="C30" s="88">
        <f>COUNTA(Anschaffungen!$I$3:$I$50)</f>
        <v>0</v>
      </c>
      <c r="D30" s="88">
        <f>COUNTA(Aufwandsentschädigungen!$B$3:$B$50)</f>
        <v>0</v>
      </c>
    </row>
  </sheetData>
  <dataValidations count="3">
    <dataValidation allowBlank="1" showInputMessage="1" showErrorMessage="1" promptTitle="Grenze für Anlagevermögen" prompt="Grenze ab der die Studierendenschaft die Anschaffung im Wirtschaftsplan als &quot;Investition&quot; aufführen muss._x000a_Geplante Gelder für Investitionen dürfen nur für solche eingesetzt werden." sqref="E8"/>
    <dataValidation allowBlank="1" showInputMessage="1" showErrorMessage="1" promptTitle="Grenze zur Inventarauflistung" prompt="Ab diesem Wert (oder auf Wunsch) wird die Anschaffung in den Listen der Studierendenschaft als &quot;Inventar&quot; geführt._x000a_Es muss bei Amtsübergaben entsprechend übergeben werden." sqref="D8"/>
    <dataValidation allowBlank="1" showInputMessage="1" showErrorMessage="1" promptTitle="Version" prompt="Kann in ganzen Zahlen erhöht werden._x000a_Es kann beim Zusammenführen der Dateien eine Mindestversion gefordert werden._x000a_Dadurch können ältere Vorlagen identifiziert werden." sqref="B5"/>
  </dataValidations>
  <pageMargins left="0.7" right="0.7" top="0.78740157499999996" bottom="0.78740157499999996" header="0.3" footer="0.3"/>
  <pageSetup paperSize="9" orientation="portrait" horizontalDpi="1200" verticalDpi="1200" r:id="rId1"/>
  <ignoredErrors>
    <ignoredError sqref="C30:D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Grunddaten</vt:lpstr>
      <vt:lpstr>Anschaffungen</vt:lpstr>
      <vt:lpstr>Aufwandsentschädigungen</vt:lpstr>
      <vt:lpstr>Normalpreisliste</vt:lpstr>
      <vt:lpstr>Kostenstelle</vt:lpstr>
      <vt:lpstr>Konto &amp; Allgemein</vt:lpstr>
    </vt:vector>
  </TitlesOfParts>
  <Company>Studierendenschaft Ostfalia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Antragsliste</dc:title>
  <dc:subject>Budgetanträge</dc:subject>
  <dc:creator>Dario Wanek</dc:creator>
  <cp:lastModifiedBy>Dario Wanek</cp:lastModifiedBy>
  <cp:revision>4</cp:revision>
  <cp:lastPrinted>2021-06-01T08:10:38Z</cp:lastPrinted>
  <dcterms:created xsi:type="dcterms:W3CDTF">2020-02-07T19:42:06Z</dcterms:created>
  <dcterms:modified xsi:type="dcterms:W3CDTF">2021-07-06T14:25:00Z</dcterms:modified>
  <cp:category>Budgetanträge;Finanzen;AStA Ostfalia</cp:category>
  <cp:version>1</cp:version>
</cp:coreProperties>
</file>